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Бензин 2016" sheetId="1" r:id="rId1"/>
  </sheets>
  <calcPr calcId="145621"/>
</workbook>
</file>

<file path=xl/calcChain.xml><?xml version="1.0" encoding="utf-8"?>
<calcChain xmlns="http://schemas.openxmlformats.org/spreadsheetml/2006/main">
  <c r="N592" i="1" l="1"/>
  <c r="N588" i="1"/>
  <c r="N589" i="1"/>
  <c r="N590" i="1"/>
  <c r="N591" i="1"/>
  <c r="N587" i="1"/>
  <c r="N581" i="1"/>
  <c r="N582" i="1"/>
  <c r="N583" i="1"/>
  <c r="N584" i="1"/>
  <c r="N585" i="1"/>
  <c r="N580" i="1"/>
  <c r="M586" i="1"/>
  <c r="M593" i="1"/>
  <c r="J588" i="1"/>
  <c r="J589" i="1"/>
  <c r="J590" i="1"/>
  <c r="J591" i="1"/>
  <c r="J592" i="1"/>
  <c r="J587" i="1"/>
  <c r="J581" i="1"/>
  <c r="J582" i="1"/>
  <c r="J583" i="1"/>
  <c r="J584" i="1"/>
  <c r="J585" i="1"/>
  <c r="J580" i="1"/>
  <c r="I593" i="1"/>
  <c r="I586" i="1"/>
  <c r="H588" i="1"/>
  <c r="H589" i="1"/>
  <c r="H590" i="1"/>
  <c r="H591" i="1"/>
  <c r="H592" i="1"/>
  <c r="H587" i="1"/>
  <c r="H581" i="1"/>
  <c r="H582" i="1"/>
  <c r="H583" i="1"/>
  <c r="H584" i="1"/>
  <c r="H585" i="1"/>
  <c r="H580" i="1"/>
  <c r="G593" i="1"/>
  <c r="G586" i="1"/>
  <c r="F592" i="1"/>
  <c r="F588" i="1"/>
  <c r="F589" i="1"/>
  <c r="F590" i="1"/>
  <c r="F591" i="1"/>
  <c r="F587" i="1"/>
  <c r="F581" i="1"/>
  <c r="F582" i="1"/>
  <c r="F583" i="1"/>
  <c r="F584" i="1"/>
  <c r="F585" i="1"/>
  <c r="F580" i="1"/>
  <c r="E593" i="1"/>
  <c r="E586" i="1"/>
  <c r="E579" i="1"/>
  <c r="N577" i="1"/>
  <c r="N578" i="1"/>
  <c r="N576" i="1"/>
  <c r="M579" i="1"/>
  <c r="J577" i="1"/>
  <c r="J578" i="1"/>
  <c r="J576" i="1"/>
  <c r="I579" i="1"/>
  <c r="H577" i="1"/>
  <c r="H578" i="1"/>
  <c r="H576" i="1"/>
  <c r="F577" i="1"/>
  <c r="F578" i="1"/>
  <c r="F576" i="1"/>
  <c r="G579" i="1"/>
  <c r="J564" i="1"/>
  <c r="J563" i="1"/>
  <c r="H564" i="1"/>
  <c r="H563" i="1"/>
  <c r="N564" i="1"/>
  <c r="N563" i="1"/>
  <c r="M565" i="1"/>
  <c r="I565" i="1"/>
  <c r="G565" i="1"/>
  <c r="E565" i="1"/>
  <c r="N548" i="1"/>
  <c r="N549" i="1"/>
  <c r="N547" i="1"/>
  <c r="M550" i="1"/>
  <c r="J548" i="1"/>
  <c r="J549" i="1"/>
  <c r="J547" i="1"/>
  <c r="H548" i="1"/>
  <c r="H549" i="1"/>
  <c r="H547" i="1"/>
  <c r="I550" i="1"/>
  <c r="G550" i="1"/>
  <c r="N552" i="1"/>
  <c r="N553" i="1"/>
  <c r="N554" i="1"/>
  <c r="N555" i="1"/>
  <c r="N551" i="1"/>
  <c r="J552" i="1"/>
  <c r="J553" i="1"/>
  <c r="J554" i="1"/>
  <c r="J555" i="1"/>
  <c r="J551" i="1"/>
  <c r="H552" i="1"/>
  <c r="H553" i="1"/>
  <c r="H554" i="1"/>
  <c r="H555" i="1"/>
  <c r="H551" i="1"/>
  <c r="F552" i="1"/>
  <c r="F553" i="1"/>
  <c r="F554" i="1"/>
  <c r="F555" i="1"/>
  <c r="F551" i="1"/>
  <c r="E556" i="1"/>
  <c r="M556" i="1"/>
  <c r="I556" i="1"/>
  <c r="G556" i="1"/>
  <c r="F558" i="1"/>
  <c r="F559" i="1"/>
  <c r="F560" i="1"/>
  <c r="F561" i="1"/>
  <c r="F557" i="1"/>
  <c r="E562" i="1"/>
  <c r="N558" i="1"/>
  <c r="N559" i="1"/>
  <c r="N560" i="1"/>
  <c r="N561" i="1"/>
  <c r="N557" i="1"/>
  <c r="J558" i="1"/>
  <c r="J559" i="1"/>
  <c r="J560" i="1"/>
  <c r="J561" i="1"/>
  <c r="J557" i="1"/>
  <c r="H558" i="1"/>
  <c r="H559" i="1"/>
  <c r="H560" i="1"/>
  <c r="H561" i="1"/>
  <c r="H557" i="1"/>
  <c r="M562" i="1"/>
  <c r="I562" i="1"/>
  <c r="G562" i="1"/>
  <c r="N567" i="1"/>
  <c r="N568" i="1"/>
  <c r="N569" i="1"/>
  <c r="N570" i="1"/>
  <c r="N571" i="1"/>
  <c r="N572" i="1"/>
  <c r="N573" i="1"/>
  <c r="N574" i="1"/>
  <c r="N566" i="1"/>
  <c r="M575" i="1"/>
  <c r="K575" i="1"/>
  <c r="J567" i="1"/>
  <c r="J568" i="1"/>
  <c r="J569" i="1"/>
  <c r="J570" i="1"/>
  <c r="J571" i="1"/>
  <c r="J572" i="1"/>
  <c r="J573" i="1"/>
  <c r="J574" i="1"/>
  <c r="J566" i="1"/>
  <c r="H567" i="1"/>
  <c r="H568" i="1"/>
  <c r="H569" i="1"/>
  <c r="H570" i="1"/>
  <c r="H571" i="1"/>
  <c r="H572" i="1"/>
  <c r="H573" i="1"/>
  <c r="H574" i="1"/>
  <c r="H566" i="1"/>
  <c r="I575" i="1"/>
  <c r="G575" i="1"/>
  <c r="E575" i="1"/>
  <c r="N517" i="1"/>
  <c r="N518" i="1"/>
  <c r="N519" i="1"/>
  <c r="N520" i="1"/>
  <c r="N521" i="1"/>
  <c r="N522" i="1"/>
  <c r="N523" i="1"/>
  <c r="N524" i="1"/>
  <c r="N525" i="1"/>
  <c r="N526" i="1"/>
  <c r="N516" i="1"/>
  <c r="M527" i="1"/>
  <c r="L517" i="1"/>
  <c r="L518" i="1"/>
  <c r="L519" i="1"/>
  <c r="L520" i="1"/>
  <c r="L521" i="1"/>
  <c r="L522" i="1"/>
  <c r="L523" i="1"/>
  <c r="L524" i="1"/>
  <c r="L525" i="1"/>
  <c r="L526" i="1"/>
  <c r="L516" i="1"/>
  <c r="K527" i="1"/>
  <c r="J517" i="1"/>
  <c r="J518" i="1"/>
  <c r="J519" i="1"/>
  <c r="J520" i="1"/>
  <c r="J521" i="1"/>
  <c r="J522" i="1"/>
  <c r="J523" i="1"/>
  <c r="J524" i="1"/>
  <c r="J525" i="1"/>
  <c r="J526" i="1"/>
  <c r="J516" i="1"/>
  <c r="H517" i="1"/>
  <c r="H518" i="1"/>
  <c r="H519" i="1"/>
  <c r="H520" i="1"/>
  <c r="H521" i="1"/>
  <c r="H522" i="1"/>
  <c r="H523" i="1"/>
  <c r="H524" i="1"/>
  <c r="H525" i="1"/>
  <c r="H526" i="1"/>
  <c r="H516" i="1"/>
  <c r="I527" i="1"/>
  <c r="G527" i="1"/>
  <c r="F517" i="1"/>
  <c r="F518" i="1"/>
  <c r="F519" i="1"/>
  <c r="F520" i="1"/>
  <c r="F521" i="1"/>
  <c r="F522" i="1"/>
  <c r="F523" i="1"/>
  <c r="F524" i="1"/>
  <c r="F525" i="1"/>
  <c r="F526" i="1"/>
  <c r="F516" i="1"/>
  <c r="E527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28" i="1"/>
  <c r="M546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28" i="1"/>
  <c r="K546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28" i="1"/>
  <c r="I546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28" i="1"/>
  <c r="G546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28" i="1"/>
  <c r="E546" i="1"/>
  <c r="N511" i="1"/>
  <c r="N512" i="1"/>
  <c r="N513" i="1"/>
  <c r="N514" i="1"/>
  <c r="N510" i="1"/>
  <c r="M515" i="1"/>
  <c r="J511" i="1"/>
  <c r="J512" i="1"/>
  <c r="J513" i="1"/>
  <c r="J514" i="1"/>
  <c r="J510" i="1"/>
  <c r="I515" i="1"/>
  <c r="H511" i="1"/>
  <c r="H512" i="1"/>
  <c r="H513" i="1"/>
  <c r="H514" i="1"/>
  <c r="H510" i="1"/>
  <c r="G515" i="1"/>
  <c r="F511" i="1"/>
  <c r="F512" i="1"/>
  <c r="F513" i="1"/>
  <c r="F514" i="1"/>
  <c r="F510" i="1"/>
  <c r="E515" i="1"/>
  <c r="N505" i="1"/>
  <c r="N506" i="1"/>
  <c r="N507" i="1"/>
  <c r="N508" i="1"/>
  <c r="N504" i="1"/>
  <c r="M509" i="1"/>
  <c r="J505" i="1"/>
  <c r="J506" i="1"/>
  <c r="J507" i="1"/>
  <c r="J508" i="1"/>
  <c r="J504" i="1"/>
  <c r="F508" i="1"/>
  <c r="F505" i="1"/>
  <c r="F506" i="1"/>
  <c r="F507" i="1"/>
  <c r="F504" i="1"/>
  <c r="H505" i="1"/>
  <c r="H506" i="1"/>
  <c r="H507" i="1"/>
  <c r="H508" i="1"/>
  <c r="H504" i="1"/>
  <c r="K509" i="1"/>
  <c r="I509" i="1"/>
  <c r="G509" i="1"/>
  <c r="E509" i="1"/>
  <c r="N494" i="1"/>
  <c r="N495" i="1"/>
  <c r="N496" i="1"/>
  <c r="N497" i="1"/>
  <c r="N493" i="1"/>
  <c r="M498" i="1"/>
  <c r="J494" i="1"/>
  <c r="J495" i="1"/>
  <c r="J496" i="1"/>
  <c r="J497" i="1"/>
  <c r="J493" i="1"/>
  <c r="I498" i="1"/>
  <c r="H494" i="1"/>
  <c r="H495" i="1"/>
  <c r="H496" i="1"/>
  <c r="H497" i="1"/>
  <c r="H493" i="1"/>
  <c r="F494" i="1"/>
  <c r="F495" i="1"/>
  <c r="F496" i="1"/>
  <c r="F497" i="1"/>
  <c r="F493" i="1"/>
  <c r="G498" i="1"/>
  <c r="E498" i="1"/>
  <c r="N500" i="1"/>
  <c r="N501" i="1"/>
  <c r="N502" i="1"/>
  <c r="N499" i="1"/>
  <c r="J500" i="1"/>
  <c r="J501" i="1"/>
  <c r="J502" i="1"/>
  <c r="J499" i="1"/>
  <c r="H500" i="1"/>
  <c r="H501" i="1"/>
  <c r="H502" i="1"/>
  <c r="H499" i="1"/>
  <c r="F500" i="1"/>
  <c r="F501" i="1"/>
  <c r="F502" i="1"/>
  <c r="F499" i="1"/>
  <c r="M503" i="1"/>
  <c r="K503" i="1"/>
  <c r="I503" i="1"/>
  <c r="E503" i="1"/>
  <c r="G503" i="1"/>
  <c r="N475" i="1" l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74" i="1"/>
  <c r="M492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74" i="1"/>
  <c r="K492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74" i="1"/>
  <c r="I492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74" i="1"/>
  <c r="G492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74" i="1"/>
  <c r="E492" i="1"/>
  <c r="N469" i="1"/>
  <c r="N470" i="1"/>
  <c r="N471" i="1"/>
  <c r="N472" i="1"/>
  <c r="N468" i="1"/>
  <c r="M473" i="1"/>
  <c r="N464" i="1"/>
  <c r="N465" i="1"/>
  <c r="N466" i="1"/>
  <c r="N463" i="1"/>
  <c r="M467" i="1"/>
  <c r="N458" i="1"/>
  <c r="N459" i="1"/>
  <c r="N460" i="1"/>
  <c r="N461" i="1"/>
  <c r="N457" i="1"/>
  <c r="M462" i="1"/>
  <c r="N454" i="1"/>
  <c r="N455" i="1"/>
  <c r="N453" i="1"/>
  <c r="M456" i="1"/>
  <c r="J468" i="1"/>
  <c r="H468" i="1"/>
  <c r="J472" i="1"/>
  <c r="H472" i="1"/>
  <c r="J469" i="1"/>
  <c r="J470" i="1"/>
  <c r="J471" i="1"/>
  <c r="J458" i="1"/>
  <c r="J459" i="1"/>
  <c r="J460" i="1"/>
  <c r="J461" i="1"/>
  <c r="J457" i="1"/>
  <c r="J464" i="1"/>
  <c r="J465" i="1"/>
  <c r="J466" i="1"/>
  <c r="J463" i="1"/>
  <c r="J454" i="1"/>
  <c r="J455" i="1"/>
  <c r="J453" i="1"/>
  <c r="I473" i="1"/>
  <c r="I467" i="1"/>
  <c r="I462" i="1"/>
  <c r="I456" i="1"/>
  <c r="H469" i="1"/>
  <c r="H470" i="1"/>
  <c r="H471" i="1"/>
  <c r="G473" i="1"/>
  <c r="H464" i="1"/>
  <c r="H465" i="1"/>
  <c r="H466" i="1"/>
  <c r="H463" i="1"/>
  <c r="G467" i="1"/>
  <c r="H458" i="1"/>
  <c r="H459" i="1"/>
  <c r="H460" i="1"/>
  <c r="H461" i="1"/>
  <c r="H457" i="1"/>
  <c r="G462" i="1"/>
  <c r="H454" i="1"/>
  <c r="H455" i="1"/>
  <c r="H453" i="1"/>
  <c r="G456" i="1"/>
  <c r="F464" i="1"/>
  <c r="F465" i="1"/>
  <c r="F466" i="1"/>
  <c r="F463" i="1"/>
  <c r="F458" i="1"/>
  <c r="F459" i="1"/>
  <c r="F460" i="1"/>
  <c r="F461" i="1"/>
  <c r="F457" i="1"/>
  <c r="F454" i="1"/>
  <c r="F455" i="1"/>
  <c r="F453" i="1"/>
  <c r="E473" i="1"/>
  <c r="E467" i="1"/>
  <c r="E462" i="1"/>
  <c r="E456" i="1"/>
  <c r="N442" i="1"/>
  <c r="N443" i="1"/>
  <c r="N444" i="1"/>
  <c r="N445" i="1"/>
  <c r="N446" i="1"/>
  <c r="N447" i="1"/>
  <c r="N448" i="1"/>
  <c r="N449" i="1"/>
  <c r="N450" i="1"/>
  <c r="N451" i="1"/>
  <c r="N441" i="1"/>
  <c r="M452" i="1"/>
  <c r="L442" i="1"/>
  <c r="L443" i="1"/>
  <c r="L444" i="1"/>
  <c r="L445" i="1"/>
  <c r="L446" i="1"/>
  <c r="L447" i="1"/>
  <c r="L448" i="1"/>
  <c r="L449" i="1"/>
  <c r="L450" i="1"/>
  <c r="L451" i="1"/>
  <c r="L441" i="1"/>
  <c r="K452" i="1"/>
  <c r="J442" i="1"/>
  <c r="J443" i="1"/>
  <c r="J444" i="1"/>
  <c r="J445" i="1"/>
  <c r="J446" i="1"/>
  <c r="J447" i="1"/>
  <c r="J448" i="1"/>
  <c r="J449" i="1"/>
  <c r="J450" i="1"/>
  <c r="J451" i="1"/>
  <c r="J441" i="1"/>
  <c r="H442" i="1"/>
  <c r="H443" i="1"/>
  <c r="H444" i="1"/>
  <c r="H445" i="1"/>
  <c r="H446" i="1"/>
  <c r="H447" i="1"/>
  <c r="H448" i="1"/>
  <c r="H449" i="1"/>
  <c r="H450" i="1"/>
  <c r="H451" i="1"/>
  <c r="H441" i="1"/>
  <c r="I452" i="1"/>
  <c r="G452" i="1"/>
  <c r="F442" i="1"/>
  <c r="F443" i="1"/>
  <c r="F444" i="1"/>
  <c r="F445" i="1"/>
  <c r="F446" i="1"/>
  <c r="F447" i="1"/>
  <c r="F448" i="1"/>
  <c r="F449" i="1"/>
  <c r="F450" i="1"/>
  <c r="F451" i="1"/>
  <c r="F441" i="1"/>
  <c r="E452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27" i="1"/>
  <c r="M440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27" i="1"/>
  <c r="K440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27" i="1"/>
  <c r="I440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27" i="1"/>
  <c r="G440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27" i="1"/>
  <c r="E440" i="1"/>
  <c r="N418" i="1"/>
  <c r="N419" i="1"/>
  <c r="N420" i="1"/>
  <c r="N421" i="1"/>
  <c r="N422" i="1"/>
  <c r="N423" i="1"/>
  <c r="N424" i="1"/>
  <c r="N425" i="1"/>
  <c r="N417" i="1"/>
  <c r="M426" i="1"/>
  <c r="L418" i="1"/>
  <c r="L419" i="1"/>
  <c r="L420" i="1"/>
  <c r="L421" i="1"/>
  <c r="L422" i="1"/>
  <c r="L423" i="1"/>
  <c r="L424" i="1"/>
  <c r="L425" i="1"/>
  <c r="L417" i="1"/>
  <c r="K426" i="1"/>
  <c r="J418" i="1"/>
  <c r="J419" i="1"/>
  <c r="J420" i="1"/>
  <c r="J421" i="1"/>
  <c r="J422" i="1"/>
  <c r="J423" i="1"/>
  <c r="J424" i="1"/>
  <c r="J425" i="1"/>
  <c r="J417" i="1"/>
  <c r="I426" i="1"/>
  <c r="H418" i="1"/>
  <c r="H419" i="1"/>
  <c r="H420" i="1"/>
  <c r="H421" i="1"/>
  <c r="H422" i="1"/>
  <c r="H423" i="1"/>
  <c r="H424" i="1"/>
  <c r="H425" i="1"/>
  <c r="H417" i="1"/>
  <c r="G426" i="1"/>
  <c r="F418" i="1"/>
  <c r="F419" i="1"/>
  <c r="F420" i="1"/>
  <c r="F421" i="1"/>
  <c r="F422" i="1"/>
  <c r="F423" i="1"/>
  <c r="F424" i="1"/>
  <c r="F425" i="1"/>
  <c r="F417" i="1"/>
  <c r="E426" i="1"/>
  <c r="N414" i="1"/>
  <c r="N415" i="1"/>
  <c r="N413" i="1"/>
  <c r="M416" i="1"/>
  <c r="J414" i="1"/>
  <c r="J415" i="1"/>
  <c r="J413" i="1"/>
  <c r="I416" i="1"/>
  <c r="H414" i="1"/>
  <c r="H415" i="1"/>
  <c r="H413" i="1"/>
  <c r="G416" i="1"/>
  <c r="F414" i="1"/>
  <c r="F415" i="1"/>
  <c r="F413" i="1"/>
  <c r="E416" i="1"/>
  <c r="N409" i="1"/>
  <c r="N410" i="1"/>
  <c r="N411" i="1"/>
  <c r="N408" i="1"/>
  <c r="M412" i="1"/>
  <c r="H409" i="1"/>
  <c r="H410" i="1"/>
  <c r="H411" i="1"/>
  <c r="H408" i="1"/>
  <c r="J409" i="1"/>
  <c r="J410" i="1"/>
  <c r="J411" i="1"/>
  <c r="J408" i="1"/>
  <c r="I412" i="1"/>
  <c r="G412" i="1"/>
  <c r="N403" i="1"/>
  <c r="N404" i="1"/>
  <c r="N405" i="1"/>
  <c r="N406" i="1"/>
  <c r="N402" i="1"/>
  <c r="M407" i="1"/>
  <c r="I407" i="1"/>
  <c r="G407" i="1"/>
  <c r="J403" i="1"/>
  <c r="J404" i="1"/>
  <c r="J405" i="1"/>
  <c r="J406" i="1"/>
  <c r="J402" i="1"/>
  <c r="H403" i="1"/>
  <c r="H404" i="1"/>
  <c r="H405" i="1"/>
  <c r="H406" i="1"/>
  <c r="H402" i="1"/>
  <c r="F403" i="1"/>
  <c r="F404" i="1"/>
  <c r="F405" i="1"/>
  <c r="F406" i="1"/>
  <c r="F402" i="1"/>
  <c r="E407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381" i="1"/>
  <c r="M40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381" i="1"/>
  <c r="K401" i="1"/>
  <c r="I401" i="1"/>
  <c r="G401" i="1"/>
  <c r="E401" i="1"/>
  <c r="N378" i="1"/>
  <c r="N379" i="1"/>
  <c r="N377" i="1"/>
  <c r="M380" i="1"/>
  <c r="J378" i="1"/>
  <c r="J379" i="1"/>
  <c r="J377" i="1"/>
  <c r="H378" i="1"/>
  <c r="H379" i="1"/>
  <c r="H377" i="1"/>
  <c r="F378" i="1"/>
  <c r="F379" i="1"/>
  <c r="F377" i="1"/>
  <c r="E380" i="1"/>
  <c r="G380" i="1"/>
  <c r="I380" i="1"/>
  <c r="N368" i="1"/>
  <c r="N369" i="1"/>
  <c r="N370" i="1"/>
  <c r="N371" i="1"/>
  <c r="N372" i="1"/>
  <c r="N373" i="1"/>
  <c r="N374" i="1"/>
  <c r="N375" i="1"/>
  <c r="N367" i="1"/>
  <c r="J368" i="1"/>
  <c r="J369" i="1"/>
  <c r="J370" i="1"/>
  <c r="J371" i="1"/>
  <c r="J372" i="1"/>
  <c r="J373" i="1"/>
  <c r="J374" i="1"/>
  <c r="J375" i="1"/>
  <c r="J367" i="1"/>
  <c r="H368" i="1"/>
  <c r="H369" i="1"/>
  <c r="H370" i="1"/>
  <c r="H371" i="1"/>
  <c r="H372" i="1"/>
  <c r="H373" i="1"/>
  <c r="H374" i="1"/>
  <c r="H375" i="1"/>
  <c r="H367" i="1"/>
  <c r="M376" i="1"/>
  <c r="L368" i="1"/>
  <c r="L369" i="1"/>
  <c r="L370" i="1"/>
  <c r="L371" i="1"/>
  <c r="L372" i="1"/>
  <c r="L373" i="1"/>
  <c r="L374" i="1"/>
  <c r="L375" i="1"/>
  <c r="L367" i="1"/>
  <c r="K376" i="1"/>
  <c r="I376" i="1"/>
  <c r="F368" i="1"/>
  <c r="F369" i="1"/>
  <c r="F370" i="1"/>
  <c r="F371" i="1"/>
  <c r="F372" i="1"/>
  <c r="F373" i="1"/>
  <c r="F374" i="1"/>
  <c r="F375" i="1"/>
  <c r="F367" i="1"/>
  <c r="G376" i="1"/>
  <c r="E376" i="1"/>
  <c r="N364" i="1"/>
  <c r="N362" i="1"/>
  <c r="M366" i="1"/>
  <c r="J364" i="1"/>
  <c r="J363" i="1"/>
  <c r="J362" i="1"/>
  <c r="H364" i="1"/>
  <c r="H363" i="1"/>
  <c r="H362" i="1"/>
  <c r="F364" i="1"/>
  <c r="F363" i="1"/>
  <c r="F362" i="1"/>
  <c r="I366" i="1"/>
  <c r="G366" i="1"/>
  <c r="E36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46" i="1"/>
  <c r="F360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46" i="1"/>
  <c r="M361" i="1"/>
  <c r="K361" i="1"/>
  <c r="I361" i="1"/>
  <c r="G361" i="1"/>
  <c r="E361" i="1"/>
  <c r="J343" i="1"/>
  <c r="J344" i="1"/>
  <c r="J342" i="1"/>
  <c r="H343" i="1"/>
  <c r="H344" i="1"/>
  <c r="H342" i="1"/>
  <c r="N343" i="1"/>
  <c r="N344" i="1"/>
  <c r="N342" i="1"/>
  <c r="M345" i="1"/>
  <c r="I345" i="1"/>
  <c r="G345" i="1"/>
  <c r="N335" i="1"/>
  <c r="N336" i="1"/>
  <c r="N337" i="1"/>
  <c r="N338" i="1"/>
  <c r="N339" i="1"/>
  <c r="N340" i="1"/>
  <c r="N334" i="1"/>
  <c r="M341" i="1"/>
  <c r="J335" i="1"/>
  <c r="J336" i="1"/>
  <c r="J337" i="1"/>
  <c r="J338" i="1"/>
  <c r="J339" i="1"/>
  <c r="J334" i="1"/>
  <c r="I341" i="1"/>
  <c r="H335" i="1"/>
  <c r="H336" i="1"/>
  <c r="H337" i="1"/>
  <c r="H338" i="1"/>
  <c r="H339" i="1"/>
  <c r="H340" i="1"/>
  <c r="H334" i="1"/>
  <c r="G341" i="1"/>
  <c r="F335" i="1"/>
  <c r="F336" i="1"/>
  <c r="F337" i="1"/>
  <c r="F338" i="1"/>
  <c r="F339" i="1"/>
  <c r="F340" i="1"/>
  <c r="F334" i="1"/>
  <c r="E341" i="1"/>
  <c r="N327" i="1"/>
  <c r="N328" i="1"/>
  <c r="N329" i="1"/>
  <c r="N330" i="1"/>
  <c r="N331" i="1"/>
  <c r="N332" i="1"/>
  <c r="N326" i="1"/>
  <c r="M333" i="1"/>
  <c r="K333" i="1"/>
  <c r="J327" i="1"/>
  <c r="J328" i="1"/>
  <c r="J329" i="1"/>
  <c r="J330" i="1"/>
  <c r="J331" i="1"/>
  <c r="J332" i="1"/>
  <c r="J326" i="1"/>
  <c r="H327" i="1"/>
  <c r="H328" i="1"/>
  <c r="H329" i="1"/>
  <c r="H330" i="1"/>
  <c r="H331" i="1"/>
  <c r="H332" i="1"/>
  <c r="H326" i="1"/>
  <c r="I333" i="1"/>
  <c r="G333" i="1"/>
  <c r="F327" i="1"/>
  <c r="F328" i="1"/>
  <c r="F329" i="1"/>
  <c r="F330" i="1"/>
  <c r="F331" i="1"/>
  <c r="F332" i="1"/>
  <c r="F326" i="1"/>
  <c r="E333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06" i="1"/>
  <c r="M325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06" i="1"/>
  <c r="K325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06" i="1"/>
  <c r="I325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06" i="1"/>
  <c r="G325" i="1"/>
  <c r="E325" i="1"/>
  <c r="N278" i="1"/>
  <c r="N280" i="1"/>
  <c r="N281" i="1"/>
  <c r="N282" i="1"/>
  <c r="N285" i="1"/>
  <c r="N286" i="1"/>
  <c r="N287" i="1"/>
  <c r="N288" i="1"/>
  <c r="N289" i="1"/>
  <c r="N290" i="1"/>
  <c r="N295" i="1"/>
  <c r="N296" i="1"/>
  <c r="N297" i="1"/>
  <c r="N298" i="1"/>
  <c r="N301" i="1"/>
  <c r="N302" i="1"/>
  <c r="N277" i="1"/>
  <c r="M285" i="1"/>
  <c r="M292" i="1"/>
  <c r="N292" i="1" s="1"/>
  <c r="M293" i="1"/>
  <c r="N293" i="1" s="1"/>
  <c r="M294" i="1"/>
  <c r="N294" i="1" s="1"/>
  <c r="M297" i="1"/>
  <c r="M298" i="1"/>
  <c r="M299" i="1"/>
  <c r="N299" i="1" s="1"/>
  <c r="M300" i="1"/>
  <c r="N300" i="1" s="1"/>
  <c r="M301" i="1"/>
  <c r="M302" i="1"/>
  <c r="M303" i="1"/>
  <c r="N303" i="1" s="1"/>
  <c r="M304" i="1"/>
  <c r="N304" i="1" s="1"/>
  <c r="M291" i="1"/>
  <c r="N291" i="1" s="1"/>
  <c r="M278" i="1"/>
  <c r="M279" i="1"/>
  <c r="N279" i="1" s="1"/>
  <c r="M281" i="1"/>
  <c r="M282" i="1"/>
  <c r="M283" i="1"/>
  <c r="N283" i="1" s="1"/>
  <c r="M284" i="1"/>
  <c r="N284" i="1" s="1"/>
  <c r="M277" i="1"/>
  <c r="M305" i="1" s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277" i="1"/>
  <c r="K305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277" i="1"/>
  <c r="I305" i="1"/>
  <c r="G305" i="1"/>
  <c r="E305" i="1"/>
  <c r="N252" i="1"/>
  <c r="N253" i="1"/>
  <c r="N254" i="1"/>
  <c r="N251" i="1"/>
  <c r="M255" i="1"/>
  <c r="L252" i="1"/>
  <c r="L253" i="1"/>
  <c r="L254" i="1"/>
  <c r="L251" i="1"/>
  <c r="K255" i="1"/>
  <c r="J252" i="1"/>
  <c r="J253" i="1"/>
  <c r="J254" i="1"/>
  <c r="J251" i="1"/>
  <c r="I255" i="1"/>
  <c r="H252" i="1"/>
  <c r="H253" i="1"/>
  <c r="H254" i="1"/>
  <c r="H251" i="1"/>
  <c r="G255" i="1"/>
  <c r="F252" i="1"/>
  <c r="F253" i="1"/>
  <c r="F254" i="1"/>
  <c r="F251" i="1"/>
  <c r="E255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56" i="1"/>
  <c r="M27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56" i="1"/>
  <c r="G27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56" i="1"/>
  <c r="E276" i="1"/>
  <c r="K276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30" i="1"/>
  <c r="K25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30" i="1"/>
  <c r="M25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30" i="1"/>
  <c r="I25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30" i="1"/>
  <c r="E25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30" i="1"/>
  <c r="G250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08" i="1"/>
  <c r="M229" i="1"/>
  <c r="K229" i="1"/>
  <c r="I229" i="1"/>
  <c r="G229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08" i="1"/>
  <c r="E229" i="1"/>
  <c r="H206" i="1"/>
  <c r="H205" i="1"/>
  <c r="G207" i="1"/>
  <c r="J202" i="1"/>
  <c r="J203" i="1"/>
  <c r="J201" i="1"/>
  <c r="H202" i="1"/>
  <c r="H203" i="1"/>
  <c r="H201" i="1"/>
  <c r="I207" i="1"/>
  <c r="K207" i="1"/>
  <c r="M207" i="1"/>
  <c r="M204" i="1"/>
  <c r="K204" i="1"/>
  <c r="I204" i="1"/>
  <c r="G204" i="1"/>
  <c r="K200" i="1"/>
  <c r="I200" i="1"/>
  <c r="G200" i="1"/>
  <c r="L188" i="1"/>
  <c r="L189" i="1"/>
  <c r="L190" i="1"/>
  <c r="L191" i="1"/>
  <c r="L192" i="1"/>
  <c r="L193" i="1"/>
  <c r="L194" i="1"/>
  <c r="L195" i="1"/>
  <c r="L196" i="1"/>
  <c r="L197" i="1"/>
  <c r="L187" i="1"/>
  <c r="K198" i="1"/>
  <c r="N188" i="1"/>
  <c r="N189" i="1"/>
  <c r="N190" i="1"/>
  <c r="N191" i="1"/>
  <c r="N192" i="1"/>
  <c r="N193" i="1"/>
  <c r="N194" i="1"/>
  <c r="N195" i="1"/>
  <c r="N196" i="1"/>
  <c r="N197" i="1"/>
  <c r="N187" i="1"/>
  <c r="M198" i="1"/>
  <c r="J188" i="1"/>
  <c r="J189" i="1"/>
  <c r="J190" i="1"/>
  <c r="J191" i="1"/>
  <c r="J192" i="1"/>
  <c r="J193" i="1"/>
  <c r="J194" i="1"/>
  <c r="J195" i="1"/>
  <c r="J196" i="1"/>
  <c r="J197" i="1"/>
  <c r="J187" i="1"/>
  <c r="H188" i="1"/>
  <c r="H189" i="1"/>
  <c r="H190" i="1"/>
  <c r="H191" i="1"/>
  <c r="H192" i="1"/>
  <c r="H193" i="1"/>
  <c r="H194" i="1"/>
  <c r="H195" i="1"/>
  <c r="H196" i="1"/>
  <c r="H197" i="1"/>
  <c r="H187" i="1"/>
  <c r="I198" i="1"/>
  <c r="G198" i="1"/>
  <c r="F188" i="1"/>
  <c r="F189" i="1"/>
  <c r="F190" i="1"/>
  <c r="F191" i="1"/>
  <c r="F192" i="1"/>
  <c r="F193" i="1"/>
  <c r="F194" i="1"/>
  <c r="F195" i="1"/>
  <c r="F196" i="1"/>
  <c r="F197" i="1"/>
  <c r="F187" i="1"/>
  <c r="E198" i="1"/>
  <c r="N181" i="1"/>
  <c r="N182" i="1"/>
  <c r="N183" i="1"/>
  <c r="N184" i="1"/>
  <c r="N185" i="1"/>
  <c r="N180" i="1"/>
  <c r="L181" i="1"/>
  <c r="L182" i="1"/>
  <c r="L183" i="1"/>
  <c r="L184" i="1"/>
  <c r="L185" i="1"/>
  <c r="L180" i="1"/>
  <c r="K186" i="1"/>
  <c r="J181" i="1"/>
  <c r="J182" i="1"/>
  <c r="J183" i="1"/>
  <c r="J184" i="1"/>
  <c r="J185" i="1"/>
  <c r="J180" i="1"/>
  <c r="H181" i="1"/>
  <c r="H182" i="1"/>
  <c r="H183" i="1"/>
  <c r="H184" i="1"/>
  <c r="H185" i="1"/>
  <c r="H180" i="1"/>
  <c r="F181" i="1"/>
  <c r="F182" i="1"/>
  <c r="F183" i="1"/>
  <c r="F184" i="1"/>
  <c r="F185" i="1"/>
  <c r="F180" i="1"/>
  <c r="M186" i="1"/>
  <c r="I186" i="1"/>
  <c r="G186" i="1"/>
  <c r="E186" i="1"/>
  <c r="N173" i="1"/>
  <c r="N174" i="1"/>
  <c r="N175" i="1"/>
  <c r="N176" i="1"/>
  <c r="N177" i="1"/>
  <c r="N178" i="1"/>
  <c r="N172" i="1"/>
  <c r="L173" i="1"/>
  <c r="L174" i="1"/>
  <c r="L175" i="1"/>
  <c r="L176" i="1"/>
  <c r="L177" i="1"/>
  <c r="L178" i="1"/>
  <c r="L172" i="1"/>
  <c r="J173" i="1"/>
  <c r="J174" i="1"/>
  <c r="J175" i="1"/>
  <c r="J176" i="1"/>
  <c r="J177" i="1"/>
  <c r="J178" i="1"/>
  <c r="J172" i="1"/>
  <c r="H173" i="1"/>
  <c r="H174" i="1"/>
  <c r="H175" i="1"/>
  <c r="H176" i="1"/>
  <c r="H177" i="1"/>
  <c r="H178" i="1"/>
  <c r="H172" i="1"/>
  <c r="F173" i="1"/>
  <c r="F174" i="1"/>
  <c r="F175" i="1"/>
  <c r="F176" i="1"/>
  <c r="F177" i="1"/>
  <c r="F178" i="1"/>
  <c r="F172" i="1"/>
  <c r="M179" i="1"/>
  <c r="K179" i="1"/>
  <c r="I179" i="1"/>
  <c r="G179" i="1"/>
  <c r="E179" i="1"/>
  <c r="N162" i="1"/>
  <c r="N163" i="1"/>
  <c r="N164" i="1"/>
  <c r="N165" i="1"/>
  <c r="N166" i="1"/>
  <c r="N167" i="1"/>
  <c r="N168" i="1"/>
  <c r="N169" i="1"/>
  <c r="N170" i="1"/>
  <c r="N161" i="1"/>
  <c r="L162" i="1"/>
  <c r="L163" i="1"/>
  <c r="L164" i="1"/>
  <c r="L165" i="1"/>
  <c r="L166" i="1"/>
  <c r="L167" i="1"/>
  <c r="L168" i="1"/>
  <c r="L169" i="1"/>
  <c r="L170" i="1"/>
  <c r="L161" i="1"/>
  <c r="J162" i="1"/>
  <c r="J163" i="1"/>
  <c r="J164" i="1"/>
  <c r="J165" i="1"/>
  <c r="J166" i="1"/>
  <c r="J167" i="1"/>
  <c r="J168" i="1"/>
  <c r="J169" i="1"/>
  <c r="J170" i="1"/>
  <c r="J161" i="1"/>
  <c r="I171" i="1"/>
  <c r="H162" i="1"/>
  <c r="H163" i="1"/>
  <c r="H164" i="1"/>
  <c r="H165" i="1"/>
  <c r="H166" i="1"/>
  <c r="H167" i="1"/>
  <c r="H168" i="1"/>
  <c r="H169" i="1"/>
  <c r="H170" i="1"/>
  <c r="H161" i="1"/>
  <c r="G171" i="1"/>
  <c r="F162" i="1"/>
  <c r="F163" i="1"/>
  <c r="F164" i="1"/>
  <c r="F165" i="1"/>
  <c r="F166" i="1"/>
  <c r="F167" i="1"/>
  <c r="F168" i="1"/>
  <c r="F169" i="1"/>
  <c r="F170" i="1"/>
  <c r="F161" i="1"/>
  <c r="M171" i="1"/>
  <c r="K171" i="1"/>
  <c r="E171" i="1"/>
  <c r="N153" i="1"/>
  <c r="N154" i="1"/>
  <c r="N155" i="1"/>
  <c r="N156" i="1"/>
  <c r="N157" i="1"/>
  <c r="N158" i="1"/>
  <c r="N159" i="1"/>
  <c r="N152" i="1"/>
  <c r="M160" i="1"/>
  <c r="L153" i="1"/>
  <c r="L154" i="1"/>
  <c r="L155" i="1"/>
  <c r="L156" i="1"/>
  <c r="L157" i="1"/>
  <c r="L158" i="1"/>
  <c r="L159" i="1"/>
  <c r="L152" i="1"/>
  <c r="K160" i="1"/>
  <c r="J153" i="1"/>
  <c r="J154" i="1"/>
  <c r="J155" i="1"/>
  <c r="J156" i="1"/>
  <c r="J157" i="1"/>
  <c r="J158" i="1"/>
  <c r="J159" i="1"/>
  <c r="J152" i="1"/>
  <c r="I160" i="1"/>
  <c r="H153" i="1"/>
  <c r="H154" i="1"/>
  <c r="H155" i="1"/>
  <c r="H156" i="1"/>
  <c r="H157" i="1"/>
  <c r="H158" i="1"/>
  <c r="H159" i="1"/>
  <c r="H152" i="1"/>
  <c r="G160" i="1"/>
  <c r="F153" i="1"/>
  <c r="F154" i="1"/>
  <c r="F155" i="1"/>
  <c r="F156" i="1"/>
  <c r="F157" i="1"/>
  <c r="F158" i="1"/>
  <c r="F159" i="1"/>
  <c r="F152" i="1"/>
  <c r="E160" i="1"/>
  <c r="M151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33" i="1"/>
  <c r="K151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33" i="1"/>
  <c r="I151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33" i="1"/>
  <c r="E151" i="1"/>
  <c r="N128" i="1"/>
  <c r="N129" i="1"/>
  <c r="N130" i="1"/>
  <c r="N131" i="1"/>
  <c r="N127" i="1"/>
  <c r="M132" i="1"/>
  <c r="H128" i="1"/>
  <c r="H129" i="1"/>
  <c r="H130" i="1"/>
  <c r="H131" i="1"/>
  <c r="H127" i="1"/>
  <c r="G132" i="1"/>
  <c r="F128" i="1"/>
  <c r="F129" i="1"/>
  <c r="F130" i="1"/>
  <c r="F131" i="1"/>
  <c r="F127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01" i="1"/>
  <c r="M126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01" i="1"/>
  <c r="N91" i="1"/>
  <c r="N92" i="1"/>
  <c r="N93" i="1"/>
  <c r="N94" i="1"/>
  <c r="N95" i="1"/>
  <c r="N96" i="1"/>
  <c r="N97" i="1"/>
  <c r="N98" i="1"/>
  <c r="N99" i="1"/>
  <c r="N90" i="1"/>
  <c r="M100" i="1"/>
  <c r="L91" i="1"/>
  <c r="L92" i="1"/>
  <c r="L93" i="1"/>
  <c r="L94" i="1"/>
  <c r="L95" i="1"/>
  <c r="L96" i="1"/>
  <c r="L97" i="1"/>
  <c r="L98" i="1"/>
  <c r="L99" i="1"/>
  <c r="L90" i="1"/>
  <c r="F91" i="1"/>
  <c r="F92" i="1"/>
  <c r="F93" i="1"/>
  <c r="F94" i="1"/>
  <c r="F95" i="1"/>
  <c r="F96" i="1"/>
  <c r="F97" i="1"/>
  <c r="F98" i="1"/>
  <c r="F99" i="1"/>
  <c r="F90" i="1"/>
  <c r="J91" i="1"/>
  <c r="J92" i="1"/>
  <c r="J93" i="1"/>
  <c r="J94" i="1"/>
  <c r="J95" i="1"/>
  <c r="J96" i="1"/>
  <c r="J97" i="1"/>
  <c r="J98" i="1"/>
  <c r="J99" i="1"/>
  <c r="J90" i="1"/>
  <c r="H91" i="1"/>
  <c r="H92" i="1"/>
  <c r="H93" i="1"/>
  <c r="H94" i="1"/>
  <c r="H95" i="1"/>
  <c r="H96" i="1"/>
  <c r="H97" i="1"/>
  <c r="H98" i="1"/>
  <c r="H99" i="1"/>
  <c r="H90" i="1"/>
  <c r="G100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4" i="1"/>
  <c r="M89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4" i="1"/>
  <c r="I8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4" i="1"/>
  <c r="E89" i="1"/>
  <c r="I276" i="1" l="1"/>
  <c r="G151" i="1"/>
  <c r="L128" i="1"/>
  <c r="L129" i="1"/>
  <c r="L130" i="1"/>
  <c r="L131" i="1"/>
  <c r="L127" i="1"/>
  <c r="K132" i="1"/>
  <c r="J128" i="1"/>
  <c r="J129" i="1"/>
  <c r="J130" i="1"/>
  <c r="J131" i="1"/>
  <c r="J127" i="1"/>
  <c r="I132" i="1"/>
  <c r="E132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01" i="1"/>
  <c r="K126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01" i="1"/>
  <c r="I126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01" i="1"/>
  <c r="G126" i="1"/>
  <c r="E126" i="1"/>
  <c r="K100" i="1"/>
  <c r="I100" i="1"/>
  <c r="E100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4" i="1"/>
  <c r="K89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4" i="1"/>
  <c r="G89" i="1" l="1"/>
  <c r="D593" i="1" l="1"/>
  <c r="D586" i="1"/>
  <c r="D546" i="1" l="1"/>
  <c r="D527" i="1"/>
  <c r="D492" i="1"/>
  <c r="D452" i="1"/>
  <c r="D440" i="1"/>
  <c r="D426" i="1"/>
  <c r="D401" i="1"/>
  <c r="D276" i="1"/>
  <c r="D376" i="1"/>
  <c r="D361" i="1"/>
  <c r="D341" i="1"/>
  <c r="D333" i="1"/>
  <c r="D325" i="1" l="1"/>
  <c r="D305" i="1"/>
  <c r="D250" i="1"/>
  <c r="D229" i="1"/>
  <c r="D198" i="1"/>
  <c r="D179" i="1" l="1"/>
  <c r="D171" i="1"/>
  <c r="D160" i="1"/>
  <c r="D151" i="1"/>
  <c r="D132" i="1"/>
  <c r="D126" i="1"/>
  <c r="D89" i="1" l="1"/>
  <c r="D100" i="1"/>
  <c r="F88" i="1"/>
</calcChain>
</file>

<file path=xl/sharedStrings.xml><?xml version="1.0" encoding="utf-8"?>
<sst xmlns="http://schemas.openxmlformats.org/spreadsheetml/2006/main" count="667" uniqueCount="563">
  <si>
    <t>Наименование хозяйствующего субъекта, осуществляющего дейстельность по розничной торговле моторным топливом</t>
  </si>
  <si>
    <t>Количество АЗС (шт.)</t>
  </si>
  <si>
    <t xml:space="preserve"> </t>
  </si>
  <si>
    <t>АИ-76 (АИ-80)</t>
  </si>
  <si>
    <t>АИ-92</t>
  </si>
  <si>
    <t>АИ-95</t>
  </si>
  <si>
    <t>АИ-98</t>
  </si>
  <si>
    <t>Объем реализации (литры)</t>
  </si>
  <si>
    <t>Доля на розничном рынке автомобильного бензина</t>
  </si>
  <si>
    <t>АЗС "ТНК"</t>
  </si>
  <si>
    <t>АЗС "Мансори"</t>
  </si>
  <si>
    <t>АЗС "Уфанефтехим"</t>
  </si>
  <si>
    <t>АЗС "ОНК"</t>
  </si>
  <si>
    <t>Принадлежность к группе лиц (независимый)</t>
  </si>
  <si>
    <t>АЗС "Сугрнефть"</t>
  </si>
  <si>
    <t xml:space="preserve">АЗС "Волга" </t>
  </si>
  <si>
    <t>АЗС "Ас-салам"</t>
  </si>
  <si>
    <t>АЗС КНК "Роснефть"</t>
  </si>
  <si>
    <t xml:space="preserve">АЗС "Гулкаспий" </t>
  </si>
  <si>
    <t>АЗС "ECTO PLUS"</t>
  </si>
  <si>
    <t>АЗС "Астра"</t>
  </si>
  <si>
    <t>АЗС "Согрнефть"</t>
  </si>
  <si>
    <t>АЗС "Ликойл"</t>
  </si>
  <si>
    <t>АЗС "Роснефть"</t>
  </si>
  <si>
    <t>АЗС "Техносити"</t>
  </si>
  <si>
    <t>АЗС "Лукойл"</t>
  </si>
  <si>
    <t>АЗС "VNK"</t>
  </si>
  <si>
    <t>АЗС "Ультима"</t>
  </si>
  <si>
    <t xml:space="preserve">АЗС "Роснефть" </t>
  </si>
  <si>
    <t>АЗС "F-1"</t>
  </si>
  <si>
    <t>АЗС "Экотэк"</t>
  </si>
  <si>
    <t>АЗС "Нестле"</t>
  </si>
  <si>
    <t>АЗС "Газпром"</t>
  </si>
  <si>
    <t>АЗС "Трансойл"</t>
  </si>
  <si>
    <t xml:space="preserve">АЗС №1 "Дагнетьпродукт" </t>
  </si>
  <si>
    <t>АЗС F-1</t>
  </si>
  <si>
    <t>АЗС "Темп"</t>
  </si>
  <si>
    <t>АЗС "Импульс -1"</t>
  </si>
  <si>
    <t>АЗС Роснафта - ООО "Вектор Плюс"</t>
  </si>
  <si>
    <t xml:space="preserve">АЗС "Белнефть" </t>
  </si>
  <si>
    <t>АЗС "Астрахань газ"</t>
  </si>
  <si>
    <t>АЗС "Евротэк"</t>
  </si>
  <si>
    <t>АЗС "Люкс ОЙЛ"</t>
  </si>
  <si>
    <t xml:space="preserve">АЗС "Эколайн" </t>
  </si>
  <si>
    <t xml:space="preserve">АЗС "Тарнаир" </t>
  </si>
  <si>
    <t xml:space="preserve">АЗС "Астрахань газпром" </t>
  </si>
  <si>
    <t xml:space="preserve">АЗС "Россия" </t>
  </si>
  <si>
    <t>АЗС "Башнефть-Харахи"</t>
  </si>
  <si>
    <t>АЗС "Еврооил"</t>
  </si>
  <si>
    <t>АЗС "Оригинал"</t>
  </si>
  <si>
    <t xml:space="preserve">АЗС "Гепард" </t>
  </si>
  <si>
    <t>АЗС "Petrol"</t>
  </si>
  <si>
    <t>АЗС "Метан"</t>
  </si>
  <si>
    <t>АЗС "Нариман"</t>
  </si>
  <si>
    <t>АЗС "Экто-Газ"</t>
  </si>
  <si>
    <t>АЗС "Ultra Petroleum"</t>
  </si>
  <si>
    <t>АЗС "Лидер"</t>
  </si>
  <si>
    <t>АЗС "Адидин"</t>
  </si>
  <si>
    <t>АЗС "ESPO"</t>
  </si>
  <si>
    <t>АЗС "Альфа Астрахань газ"</t>
  </si>
  <si>
    <t>АЗС "Башнефть"</t>
  </si>
  <si>
    <t>АЗС "Сидней"</t>
  </si>
  <si>
    <t>АЗС ГК "Улубий"</t>
  </si>
  <si>
    <t>АЗС Магомедов А.</t>
  </si>
  <si>
    <t>АЗС Шахмурадов Ш.</t>
  </si>
  <si>
    <t>АЗС Магомедов Н.</t>
  </si>
  <si>
    <t>АЗС на тер. "Сулак рыба"</t>
  </si>
  <si>
    <t>АЗС "С-газ"</t>
  </si>
  <si>
    <t>АЗС "Анжи"</t>
  </si>
  <si>
    <t>АЗС "Еврогаз"</t>
  </si>
  <si>
    <t>АЗС "Шива"</t>
  </si>
  <si>
    <t>АЗС "Литр"</t>
  </si>
  <si>
    <t>АЗС Ликойл ООО "митек"</t>
  </si>
  <si>
    <t>АЗС "Рос Бензин"</t>
  </si>
  <si>
    <t>АЗС "Petrolium BP"</t>
  </si>
  <si>
    <t xml:space="preserve">АЗС "Росс Нефть" </t>
  </si>
  <si>
    <t>АЗС "Нефтянник"</t>
  </si>
  <si>
    <t xml:space="preserve">АЗС "Мобил" </t>
  </si>
  <si>
    <t>АЗС "Зодчий"</t>
  </si>
  <si>
    <t>АЗС "ММЗ"</t>
  </si>
  <si>
    <t>АЗС Ликойл ООО "Дагнефтепродукт"</t>
  </si>
  <si>
    <t>АЗС "Ясин"</t>
  </si>
  <si>
    <t>АЗС "Рус Нефть"</t>
  </si>
  <si>
    <t>МО г. Махачкала Итого: 111 АЗС</t>
  </si>
  <si>
    <t>Географические границы розничного рынка автомобильных бензинов. Республикка Дагестан в разрезе по ее МО (города и районы)</t>
  </si>
  <si>
    <t>ДТ</t>
  </si>
  <si>
    <t>МО г. Дербент            Итого: 13 АЗС</t>
  </si>
  <si>
    <t>АЗС "Транс Ойл"</t>
  </si>
  <si>
    <t>независимый</t>
  </si>
  <si>
    <t xml:space="preserve">АЗС "Люкс Петрол" </t>
  </si>
  <si>
    <t>АЗС "Рик-Ойл"</t>
  </si>
  <si>
    <t>АЗС "Айс"</t>
  </si>
  <si>
    <t>АЗС "VIPOIL"</t>
  </si>
  <si>
    <t>АЗС "Олимп"</t>
  </si>
  <si>
    <t xml:space="preserve">АЗС "Старт" </t>
  </si>
  <si>
    <t>АЗС "Эко-тэк"</t>
  </si>
  <si>
    <t>АЗС ООО "С-трансгаз"</t>
  </si>
  <si>
    <t>АЗС ООО "ИММ"</t>
  </si>
  <si>
    <t>АЗС ООО "Престиж-Асму"</t>
  </si>
  <si>
    <t>АЗС ООО "Сокол"</t>
  </si>
  <si>
    <t>АЗС ООО "Kohnet"</t>
  </si>
  <si>
    <t>МО г. Хасавюрт            Итого: 27 АЗС</t>
  </si>
  <si>
    <t>АЗС "Чемпион"</t>
  </si>
  <si>
    <t>АЗС "Люкойл"</t>
  </si>
  <si>
    <t>АЗС ООО "ЛЮКС</t>
  </si>
  <si>
    <t>АЗС "F-1 oil"</t>
  </si>
  <si>
    <t>АЗС ООО "Славнефть"</t>
  </si>
  <si>
    <t>МО г. Кизилюрт           Итого: 6 АЗС</t>
  </si>
  <si>
    <t xml:space="preserve">АЗС ИП Абдуллаев А.И. </t>
  </si>
  <si>
    <t xml:space="preserve">АЗС ИП Абуков М.У. </t>
  </si>
  <si>
    <t>АЗС ИП Асхабов Ю.Ю.</t>
  </si>
  <si>
    <t xml:space="preserve">АЗС ИП Атавов Р.В. </t>
  </si>
  <si>
    <t>АЗС ИП Атхаджиев С.Л.</t>
  </si>
  <si>
    <t xml:space="preserve">АЗС ИП Гаджиев С.М. </t>
  </si>
  <si>
    <t>АЗСИП Даудов М.Р.</t>
  </si>
  <si>
    <t>АЗС ИП Казавкаев М.П.</t>
  </si>
  <si>
    <t xml:space="preserve">АЗС ИП Дибиргаджиева Р.Г. </t>
  </si>
  <si>
    <t xml:space="preserve">АЗС ИП Мусаев Х.Г. </t>
  </si>
  <si>
    <t xml:space="preserve">АЗС ИП Мисорхаджиев А.М. </t>
  </si>
  <si>
    <t xml:space="preserve">АЗС ИП Нурмагомедов М.Г. </t>
  </si>
  <si>
    <t xml:space="preserve">АЗС ИП Оздиев М.И. </t>
  </si>
  <si>
    <t xml:space="preserve">АЗС ИП Пушлаев Д.Н. </t>
  </si>
  <si>
    <t xml:space="preserve">АЗС ИП Таймасханов Т.Т. </t>
  </si>
  <si>
    <t>АЗС ИП Татаев И.М.</t>
  </si>
  <si>
    <t>АЗС ИП Эльдаргаджиев О.Ю.</t>
  </si>
  <si>
    <t xml:space="preserve">АЗС ООО "Дагнефтепродукт" </t>
  </si>
  <si>
    <t>АЗС "Кизлярагрокомплекс"</t>
  </si>
  <si>
    <t>АЗС "ТЕРЕК"</t>
  </si>
  <si>
    <t>АЗС "ЮКОС"</t>
  </si>
  <si>
    <t>АЗС "Поиск"</t>
  </si>
  <si>
    <t>АЗС "BP"</t>
  </si>
  <si>
    <t xml:space="preserve">АЗС "Лукойл" </t>
  </si>
  <si>
    <t>АЗС "Наида"</t>
  </si>
  <si>
    <t>АЗС "Руснефть"</t>
  </si>
  <si>
    <t xml:space="preserve">АЗС "Арбат" </t>
  </si>
  <si>
    <t>АГЗС "Искра"</t>
  </si>
  <si>
    <t>АГЗС ИП Дибиргаджиев Ш.Г.</t>
  </si>
  <si>
    <t xml:space="preserve">АГЗС ИП Курбанов К.Г. </t>
  </si>
  <si>
    <t xml:space="preserve">АЗС ИП Магомедов Г.У. </t>
  </si>
  <si>
    <t>АГЗС ООО "Раиком"</t>
  </si>
  <si>
    <t>АГЗС ООО Спецгазстройсервис"</t>
  </si>
  <si>
    <t>АГЗС  "Астра газ"</t>
  </si>
  <si>
    <t>АГЗС "Южный Астра газ"</t>
  </si>
  <si>
    <t>АЗС "Кэмзовская"</t>
  </si>
  <si>
    <t>АЗС "Агротранснефть"</t>
  </si>
  <si>
    <t xml:space="preserve">АЗС "Дельфин" </t>
  </si>
  <si>
    <t>АЗС ИП Кудиямагомедов М.О.</t>
  </si>
  <si>
    <t>АЗС ИП Нурутдинов М.М.</t>
  </si>
  <si>
    <t>МО г. Кизляр           Итого: 20 АЗС</t>
  </si>
  <si>
    <t xml:space="preserve">АЗС ИП Амаев А.А. </t>
  </si>
  <si>
    <t>АЗС ИП Гасанов Г.С.</t>
  </si>
  <si>
    <t xml:space="preserve"> АЗС ИП Гасбанов Г.А.</t>
  </si>
  <si>
    <t>АЗС ИП Джапаров Ш.А.</t>
  </si>
  <si>
    <t xml:space="preserve">АЗС ИП Исмаилов С.М. </t>
  </si>
  <si>
    <t>АЗС ИП Мужаидов М.М.</t>
  </si>
  <si>
    <t>АЗС ИП Мусалаев М.М.</t>
  </si>
  <si>
    <t>АЗС ИП Нухов М.И.</t>
  </si>
  <si>
    <t>МО г. Избербаш           Итого: 10 АЗС</t>
  </si>
  <si>
    <t>АЗС "Sintez"</t>
  </si>
  <si>
    <t>АЗС Кристалл"</t>
  </si>
  <si>
    <t>АЗС "Evrotek"</t>
  </si>
  <si>
    <t xml:space="preserve">АЗС Форсаж" </t>
  </si>
  <si>
    <t xml:space="preserve">АЗС "ТНК" </t>
  </si>
  <si>
    <t xml:space="preserve">АЗС "Татойл" </t>
  </si>
  <si>
    <t xml:space="preserve">АЗС ИП Баярсланова З.А. </t>
  </si>
  <si>
    <t>АЗС "Лотос"</t>
  </si>
  <si>
    <t>АЗС "Сафар"</t>
  </si>
  <si>
    <t>МО г. Буйнакск           Итого: 10 АЗС</t>
  </si>
  <si>
    <t>АЗС "ЮГ"</t>
  </si>
  <si>
    <t xml:space="preserve">АЗС "техносити" </t>
  </si>
  <si>
    <t>АЗС "Экотек"</t>
  </si>
  <si>
    <t xml:space="preserve">АЗС "Север" </t>
  </si>
  <si>
    <t>АЗС "Канда"</t>
  </si>
  <si>
    <t>МО г. Южно-Сухокумск                  Итого: 6 АЗС</t>
  </si>
  <si>
    <t>АЗС "Югнефтегаз"</t>
  </si>
  <si>
    <t>АЗС "Снежинка"</t>
  </si>
  <si>
    <t>АЗС "Касчпийский шельф"</t>
  </si>
  <si>
    <t>АЗС "АВВра"</t>
  </si>
  <si>
    <t>АЗС "Славнефть"</t>
  </si>
  <si>
    <t>АЗС ООО "Наше Дело"</t>
  </si>
  <si>
    <t>АЗС ИП Шахшабегов Ш.М.</t>
  </si>
  <si>
    <t>АЗС "НуМан"</t>
  </si>
  <si>
    <t>АЗС "Хайми"</t>
  </si>
  <si>
    <t>АГЗС "Ясриб"</t>
  </si>
  <si>
    <t>МО г. Каспийск                 Итого: 13 АЗС</t>
  </si>
  <si>
    <t xml:space="preserve">МО Бежтинский Участок Итого: 1 АЗС </t>
  </si>
  <si>
    <t>АЗС "Мерзоев А.А.</t>
  </si>
  <si>
    <t>АЗС ООО "Кизи-кумух"</t>
  </si>
  <si>
    <t>АЗС ИП Магомедова А.И.</t>
  </si>
  <si>
    <t>АЗС ИП Сулейманов Г.М.</t>
  </si>
  <si>
    <t xml:space="preserve">МО Лакский район Итого: 3 АЗС </t>
  </si>
  <si>
    <t xml:space="preserve">МО Ахвахский район Итого: 2 АЗС </t>
  </si>
  <si>
    <t>АЗС ООО "Беркут"</t>
  </si>
  <si>
    <t>АЗС ИП Шейхмагомедов М.М.</t>
  </si>
  <si>
    <t>АЗС ИП Джанаева А.Д.</t>
  </si>
  <si>
    <t>АЗС ИП Гаджиев К.М.</t>
  </si>
  <si>
    <t>АЗС ИП Шамарданов М.З.</t>
  </si>
  <si>
    <t>АЗС ИП Ибрагимов И.Н.</t>
  </si>
  <si>
    <t>АЗС ИП Ханбулатов И.Б.</t>
  </si>
  <si>
    <t xml:space="preserve">АЗС "Марс 2" ИП </t>
  </si>
  <si>
    <t>АЗС ИП Шарубекова М.</t>
  </si>
  <si>
    <t>АЗС Максудова А.</t>
  </si>
  <si>
    <t>АЗС ИП Карамагомедов А.</t>
  </si>
  <si>
    <t>АЗС ИП Абдурахманов М.</t>
  </si>
  <si>
    <t>ИП Халилов А.</t>
  </si>
  <si>
    <t>АЗС ООО "Караман"</t>
  </si>
  <si>
    <t>АЗС ИП Алиев М.</t>
  </si>
  <si>
    <t>АЗС "Европетрол"</t>
  </si>
  <si>
    <t>АЗС ИП Магомедов Б.</t>
  </si>
  <si>
    <t>АЗС "ЮГАС"</t>
  </si>
  <si>
    <t>АЗС "71"</t>
  </si>
  <si>
    <t>АЗС ИП Алибагандов А.К.</t>
  </si>
  <si>
    <t>АЗС ИП Абзимов С.</t>
  </si>
  <si>
    <t xml:space="preserve">МО Кумторкалинский район                            Итого: 21 АЗС </t>
  </si>
  <si>
    <t xml:space="preserve">МО Табасаранский район                            Итого: 20 АЗС </t>
  </si>
  <si>
    <t>АЗС ИП Юнусов С.И.</t>
  </si>
  <si>
    <t>АЗС ИП Алисултанов Ф.З.</t>
  </si>
  <si>
    <t>АЗС ИП Гасраталиева Э.Д.</t>
  </si>
  <si>
    <t>АЗС ИП Гасанова Ф.А.</t>
  </si>
  <si>
    <t>АЗС ИП Юнусов Э.А.</t>
  </si>
  <si>
    <t>АЗС ИП Абдуллаев Э.В.</t>
  </si>
  <si>
    <t>АЗС ИП Гаджиибрагимов М.М.</t>
  </si>
  <si>
    <t>АЗС ИП Кельбисов Я.Г.</t>
  </si>
  <si>
    <t>АЗС ИП Алиэмсетов А.А.</t>
  </si>
  <si>
    <t>АЗС ИП Пирмагомедов О.У.</t>
  </si>
  <si>
    <t>АЗС ИП Раджабов Р.А.</t>
  </si>
  <si>
    <t>АЗС ИП Алиев Р.Н.</t>
  </si>
  <si>
    <t>АЗС ИП Исрафилов А.И.</t>
  </si>
  <si>
    <t>АЗС ИП Амиралиев М.Г.</t>
  </si>
  <si>
    <t>АЗС ИП Абдуллаев М.И.</t>
  </si>
  <si>
    <t>АЗС ИП Магомедов В.А.</t>
  </si>
  <si>
    <t>АЗС ИП Алирзаев А.А.</t>
  </si>
  <si>
    <t>АЗС ИП Марданов М.А.</t>
  </si>
  <si>
    <t>АЗС ИП Алимирзаев А.З.</t>
  </si>
  <si>
    <t xml:space="preserve">МО Акушинский район Итого: 4 АЗС </t>
  </si>
  <si>
    <t>АЗС  "Европетрол"</t>
  </si>
  <si>
    <t>АЗС "Газпром" ИП Кимбаров М.О.</t>
  </si>
  <si>
    <t>АЗС  "Роснефть" ИП Кадиев М.М.</t>
  </si>
  <si>
    <t xml:space="preserve">АЗС "Финиш" </t>
  </si>
  <si>
    <t xml:space="preserve">МО Каякентский район                            Итого: 23 АЗС </t>
  </si>
  <si>
    <t xml:space="preserve">АЗС "ЮГ Лада-Кросс" </t>
  </si>
  <si>
    <t>АЗС "Герда"</t>
  </si>
  <si>
    <t>АЗС "Ника"</t>
  </si>
  <si>
    <t xml:space="preserve">АЗС "Идеал" </t>
  </si>
  <si>
    <t>АЗС "Октан"</t>
  </si>
  <si>
    <t>АЗС "Дагнафта"</t>
  </si>
  <si>
    <t>АЗС "БG"</t>
  </si>
  <si>
    <t>АЗС ИП Абдулманапов Х.Ш.</t>
  </si>
  <si>
    <t>АЗС ИП Мирзаев К.С.</t>
  </si>
  <si>
    <t>АЗС ИП Меджидов Х.</t>
  </si>
  <si>
    <t>АЗС "Ф1"</t>
  </si>
  <si>
    <t xml:space="preserve">АЗС "Викри" </t>
  </si>
  <si>
    <t>АЗС "Экспрес"</t>
  </si>
  <si>
    <t>АЗС "Дарчи"</t>
  </si>
  <si>
    <t xml:space="preserve">АЗС "Зант" </t>
  </si>
  <si>
    <t>АЗС "Петрол"</t>
  </si>
  <si>
    <t>АЗС "Бенц"</t>
  </si>
  <si>
    <t>АЗС ИП Гасанбеков А.</t>
  </si>
  <si>
    <t xml:space="preserve">МО Карабудахкентский район                            Итого: 32 АЗС </t>
  </si>
  <si>
    <t xml:space="preserve">АЗС "Руслан" </t>
  </si>
  <si>
    <t>АЗС "роснефть"</t>
  </si>
  <si>
    <t>АЗС "Росснефть"</t>
  </si>
  <si>
    <t>АЗС "Бойнак"</t>
  </si>
  <si>
    <t>АЗС "Ясриб"</t>
  </si>
  <si>
    <t>АЗС "Юг-транс А"</t>
  </si>
  <si>
    <t>АЗС "ВНК"</t>
  </si>
  <si>
    <t>АЗС "Тюмень нефть"</t>
  </si>
  <si>
    <t>АЗС "Газпрос"  ИП</t>
  </si>
  <si>
    <t>АЗС "Финиш"</t>
  </si>
  <si>
    <t>АЗС "Аданак"</t>
  </si>
  <si>
    <t>АЗС "МКН"</t>
  </si>
  <si>
    <t>АЗС  "AMV"</t>
  </si>
  <si>
    <t>АЗС "Беркут"</t>
  </si>
  <si>
    <t>АЗС "Росннефть"</t>
  </si>
  <si>
    <t>АЗС "Перекресток"</t>
  </si>
  <si>
    <t>АЗС ИП Ахмедов К.А.</t>
  </si>
  <si>
    <t>АЗС "Ахав"</t>
  </si>
  <si>
    <t>АЗС ИП Атаев А.М.</t>
  </si>
  <si>
    <t>АЗС "губден"</t>
  </si>
  <si>
    <t>АЗС "Берекет"</t>
  </si>
  <si>
    <t>АЗС ИП Ашурваев С.М.</t>
  </si>
  <si>
    <t>АЗС Ип Алишихов М.</t>
  </si>
  <si>
    <t>АЗС ИП Гаджиханов Г.</t>
  </si>
  <si>
    <t>АЗС ИП Абакарова П.Н.</t>
  </si>
  <si>
    <t>АЗС ИП Абдуллазизов М.А.</t>
  </si>
  <si>
    <t>АЗС ИП Саидов А.У.</t>
  </si>
  <si>
    <t xml:space="preserve">МО Магарамкентский район                            Итого: 21 АЗС </t>
  </si>
  <si>
    <t>АЗС "Ватан"</t>
  </si>
  <si>
    <t>АЗС "555"</t>
  </si>
  <si>
    <t>АЗС "Ягар-Нефть"</t>
  </si>
  <si>
    <t>АЗС "Престиж"</t>
  </si>
  <si>
    <t>АЗС "Садвал"</t>
  </si>
  <si>
    <t>АЗС "Гильяр"</t>
  </si>
  <si>
    <t>АЗС "777"</t>
  </si>
  <si>
    <t>АЗС "Хорель"</t>
  </si>
  <si>
    <t>АЗС "Юждаг"</t>
  </si>
  <si>
    <t>АЗС "Старт"</t>
  </si>
  <si>
    <t>АЗС "Тагиркент-Казмаляр"</t>
  </si>
  <si>
    <t>АЗС "Леки"</t>
  </si>
  <si>
    <t>АЗС "Магарамкент"</t>
  </si>
  <si>
    <t>АЗС "Ягар"</t>
  </si>
  <si>
    <t>АЗС "Мегаполис"</t>
  </si>
  <si>
    <t>АЗС "Бут-Казмаляр"</t>
  </si>
  <si>
    <t>АЗС "Аруквалар"</t>
  </si>
  <si>
    <t>АЗС "Филя"</t>
  </si>
  <si>
    <t>АЗС "Автостанция Южное"</t>
  </si>
  <si>
    <t xml:space="preserve">АЗС ООО "Техникс" </t>
  </si>
  <si>
    <t>АЗС ПК "Муса-О"</t>
  </si>
  <si>
    <t>АЗС ООО "Восток"</t>
  </si>
  <si>
    <t>АЗС "Могох"</t>
  </si>
  <si>
    <t>АЗС ИП Магомедов Р.М.</t>
  </si>
  <si>
    <t>АЗС "Газком-Гергебль"</t>
  </si>
  <si>
    <t>АГЗС ИП Исаева А.М.</t>
  </si>
  <si>
    <t>АЗС ИП Магомедов З.У.</t>
  </si>
  <si>
    <t>АЗС ИП Исаев А.</t>
  </si>
  <si>
    <t>АЗС ИП Раджабов Т.Т.</t>
  </si>
  <si>
    <t>АЗС ИП Алиева М.Р.</t>
  </si>
  <si>
    <t>АЗС "Магмус"</t>
  </si>
  <si>
    <t>АЗС "Ахты"</t>
  </si>
  <si>
    <t>АЗС "Весна"</t>
  </si>
  <si>
    <t>МО Гунибский район                 Итого: 5 АЗС</t>
  </si>
  <si>
    <t>АЗС "Согр"</t>
  </si>
  <si>
    <t>АЗС "ГОЛД"</t>
  </si>
  <si>
    <t>АЗС "Н.Кегер"</t>
  </si>
  <si>
    <t xml:space="preserve">МО Бабаюртовский район                            Итого: 18 АЗС </t>
  </si>
  <si>
    <t>АЗС ИП Меджидов У.У.</t>
  </si>
  <si>
    <t>АЗС ИП Мирзаев А.Х.</t>
  </si>
  <si>
    <t>АЗС "BG"</t>
  </si>
  <si>
    <t>АЗС "ОилЕвро"</t>
  </si>
  <si>
    <t>АЗС ИП Магомедова П.К.</t>
  </si>
  <si>
    <t>АЗС ИП Ахмедов Д.Л.</t>
  </si>
  <si>
    <t>АЗС ИП Алиева А.А.</t>
  </si>
  <si>
    <t>АЗС ИП Мурадов З.Д.</t>
  </si>
  <si>
    <t>АЗС ИП Саидова Г.Р.</t>
  </si>
  <si>
    <t>АЗС ИП Саидов Ш.М.</t>
  </si>
  <si>
    <t>АЗС "Стар-ойл"</t>
  </si>
  <si>
    <t>АЗС "STAR"</t>
  </si>
  <si>
    <t>АЗС ИП Серажутдинов Г.Р.</t>
  </si>
  <si>
    <t xml:space="preserve">МО Ботлихский район                            Итого: 11 АЗС </t>
  </si>
  <si>
    <t>АЗС ИП Камаева З.З.</t>
  </si>
  <si>
    <t>АЗС ИП Алиев Р.У.</t>
  </si>
  <si>
    <t>АЗС ИП Магомедов А.</t>
  </si>
  <si>
    <t>АЗС ИП Абдулмеджидова К.</t>
  </si>
  <si>
    <t>АЗС ИП Бахтияров Р.Н.</t>
  </si>
  <si>
    <t>АЗС "Союз"</t>
  </si>
  <si>
    <t>АЗС "Веторок"</t>
  </si>
  <si>
    <t>АЗС "EVRO"</t>
  </si>
  <si>
    <t>МО Хунзахский район                 Итого: 4 АЗС</t>
  </si>
  <si>
    <t>АЗС ИП Казбеков Ю.И.</t>
  </si>
  <si>
    <t>АЗС  ООО "Кристал"</t>
  </si>
  <si>
    <t>АЗС "ОМУС"</t>
  </si>
  <si>
    <t xml:space="preserve">МО Буйнакский район                            Итого: 27 АЗС </t>
  </si>
  <si>
    <t>АЗС "Насиб"</t>
  </si>
  <si>
    <t>АЗС ИП Зауров К.К.</t>
  </si>
  <si>
    <t>АЗС ИП Исаева С.И.</t>
  </si>
  <si>
    <t>АЗС ИП Ванатиев У.</t>
  </si>
  <si>
    <t>АЗС "Сахара"</t>
  </si>
  <si>
    <t>АЗС "Техно"</t>
  </si>
  <si>
    <t>АЗС ИП Сайпулаева Л.</t>
  </si>
  <si>
    <t>АЗС ИП Иванова К.П.</t>
  </si>
  <si>
    <t>АЗС ИП Магомедов А.А.</t>
  </si>
  <si>
    <t>АЗС "F1"</t>
  </si>
  <si>
    <t>АЗС "Восход"</t>
  </si>
  <si>
    <t>АЗС ИП Пайзулахов П.П.</t>
  </si>
  <si>
    <t>АЗС "Экспресс"</t>
  </si>
  <si>
    <t>АЗС "Мир"</t>
  </si>
  <si>
    <t>АЗС ИП Мамаев М.У.</t>
  </si>
  <si>
    <t>АЗС "Бенза"</t>
  </si>
  <si>
    <t>АЗС ИП Гебекова С.</t>
  </si>
  <si>
    <t>АЗС ИП Тагиров Л.</t>
  </si>
  <si>
    <t>АЗС ИП Жукова А.</t>
  </si>
  <si>
    <t>АЗС "ЛЮКС"</t>
  </si>
  <si>
    <t>АЗС ИП Цахаев Л.</t>
  </si>
  <si>
    <t>АЗС ИП Магдиева С.Т.</t>
  </si>
  <si>
    <t>АЗС ИП Алегберов А.К.</t>
  </si>
  <si>
    <t>АЗС "БоЗе"</t>
  </si>
  <si>
    <t>АЗС ИП Юнусов А.Г.</t>
  </si>
  <si>
    <t>АЗС ИП Муртазалиев М.М.</t>
  </si>
  <si>
    <t>АЗС ИП Ахмедов Т.Г.</t>
  </si>
  <si>
    <t>АЗС ИП Ибрагимов Ш.И.</t>
  </si>
  <si>
    <t>АЗС "Искра"</t>
  </si>
  <si>
    <t>АЗС ИП Багамаева Э.Т.</t>
  </si>
  <si>
    <t>АЗС ИП Магомедалиев З.</t>
  </si>
  <si>
    <t>МО Кизлярский район                    Итого: 11 АЗС</t>
  </si>
  <si>
    <t>АЗС ИП Ахмидилов А.К.</t>
  </si>
  <si>
    <t>АЗС ИП Магомедов Л.Р.</t>
  </si>
  <si>
    <t>АЗС ИП Магомедов К.Р.</t>
  </si>
  <si>
    <t>АЗС "Салют"</t>
  </si>
  <si>
    <t>АЗС "ВИП"</t>
  </si>
  <si>
    <t>АЗС ИП Мухамедов М.З.</t>
  </si>
  <si>
    <t>АЗС ИП Суллуева Р.</t>
  </si>
  <si>
    <t>АЗС ИП Камалов Ф.С.</t>
  </si>
  <si>
    <t xml:space="preserve">АЗС ИП Макашарипова С.Г. </t>
  </si>
  <si>
    <t>АЗС ИП Силимханов Ш.С.</t>
  </si>
  <si>
    <t>АЗС ИП Ремиханов У.Р.</t>
  </si>
  <si>
    <t>АЗС ИП Аскенждеров Г.А.</t>
  </si>
  <si>
    <t xml:space="preserve"> АЗС ИП Абдулмеджидов Н.А. </t>
  </si>
  <si>
    <t>АЗС ИП Касимов И.Ю.</t>
  </si>
  <si>
    <t xml:space="preserve"> АЗС ИП Шихсаидов Н.</t>
  </si>
  <si>
    <t>АЗС ИП Гаджиев М.О.</t>
  </si>
  <si>
    <t>АЗС ИП Абдулов И.А.</t>
  </si>
  <si>
    <t>АЗС ИП Гайдаров А.А.</t>
  </si>
  <si>
    <t>АЗС ИП Назирова Ю.Н.</t>
  </si>
  <si>
    <t>АЗС ООО "Алпан-Нефть"</t>
  </si>
  <si>
    <t>АЗС "С-Трансгаз"</t>
  </si>
  <si>
    <t xml:space="preserve">МО Дербентский район                            Итого: 18 АЗС </t>
  </si>
  <si>
    <t>МО Кизилюртовский район                    Итого: 14 АЗС</t>
  </si>
  <si>
    <t>АЗС ИП Магомедов А.Д.</t>
  </si>
  <si>
    <t>АЗС ИП Казиев Л.А.</t>
  </si>
  <si>
    <t>АЗС ИП Исааков В.К.</t>
  </si>
  <si>
    <t>АЗС ИП Алиева И.М.</t>
  </si>
  <si>
    <t>АЗС ИП Суликов П.И.</t>
  </si>
  <si>
    <t>АЗС ИП Гасанов Г.Г.</t>
  </si>
  <si>
    <t>АЗС "Север"</t>
  </si>
  <si>
    <t>АЗС "Исток"</t>
  </si>
  <si>
    <t>АГЗС "Техногаз"</t>
  </si>
  <si>
    <t>АЗС "FIRE"</t>
  </si>
  <si>
    <t>АЗС "Нафтагаз"</t>
  </si>
  <si>
    <t xml:space="preserve">МО Кулинский район Итого: 3 АЗС </t>
  </si>
  <si>
    <t>АЗС "Газпромъ"</t>
  </si>
  <si>
    <t>АЗС ИП Сулейманов С.К.</t>
  </si>
  <si>
    <t>АЗС ИП Магомедов З.А.</t>
  </si>
  <si>
    <t>МО Курахский район                 Итого: 5 АЗС</t>
  </si>
  <si>
    <t>АЗС "Плюс"</t>
  </si>
  <si>
    <t>АЗС "Модуль"</t>
  </si>
  <si>
    <t>АЗС ИП Заманова К.К.</t>
  </si>
  <si>
    <t>АЗС ИП Мансуров .Д.П.</t>
  </si>
  <si>
    <t>АЗС ИП Алигаджиев А.Т.</t>
  </si>
  <si>
    <t>МО Гумбетовский район  Итого: 4 АЗС</t>
  </si>
  <si>
    <t>МО Кайтагский район  Итого: 7 АЗС</t>
  </si>
  <si>
    <t>АЗС "Джибахни" ИП Магомедов Г.С.</t>
  </si>
  <si>
    <t>АЗС "Чахдикна"</t>
  </si>
  <si>
    <t>АЗС "Заря"</t>
  </si>
  <si>
    <t>АЗС ИП Галимов Л.Г.</t>
  </si>
  <si>
    <t>МО Дахадаевский район     Итого: 6 АЗС</t>
  </si>
  <si>
    <t>АЗС ИП Умаев О.И.</t>
  </si>
  <si>
    <t>АЗС ИП Толиев С.В.</t>
  </si>
  <si>
    <t>АЗС ИП Ашдаев Р.Н.</t>
  </si>
  <si>
    <t>АЗС ИП Улубиев У.М.</t>
  </si>
  <si>
    <t>АЗС ИП Курбанов Ш.А.</t>
  </si>
  <si>
    <t>МО Казбековский район     Итого: 6 АЗС</t>
  </si>
  <si>
    <t xml:space="preserve">МО Левашинский  район                            Итого: 25 АЗС </t>
  </si>
  <si>
    <t>АЗС ИП Магомедов Б.Р.</t>
  </si>
  <si>
    <t xml:space="preserve">АЗС ИП Касимов А.П. </t>
  </si>
  <si>
    <t>АЗС "Алмаз"</t>
  </si>
  <si>
    <t>АЗС "VIP"</t>
  </si>
  <si>
    <t xml:space="preserve">АЗС ИП Сагидов А.П. </t>
  </si>
  <si>
    <t>АЗС "BРevro"</t>
  </si>
  <si>
    <t>АЗС ИП Сахов Ш.М.</t>
  </si>
  <si>
    <t>АЗС ИП Максудо Р.А.</t>
  </si>
  <si>
    <t>АЗС ИП Яхъяева К.А.</t>
  </si>
  <si>
    <t>АГЗС ИП Садыков Г.У.</t>
  </si>
  <si>
    <t>АЗС "АРЦ"</t>
  </si>
  <si>
    <t>АЗС ИП Нишалова Л.Д.</t>
  </si>
  <si>
    <t>АЗС "Леваши"</t>
  </si>
  <si>
    <t>АЗС "Уцы"</t>
  </si>
  <si>
    <t>АЗС ИП Тагиров П.М.</t>
  </si>
  <si>
    <t>АГЗС "С-Газ"</t>
  </si>
  <si>
    <t>МО Новолакский район  Итого: 5 АЗС</t>
  </si>
  <si>
    <t>АЗС "Лакудуш"</t>
  </si>
  <si>
    <t>АЗС ИП Иванов С.Г.</t>
  </si>
  <si>
    <t>АЗС ИП Магомедова П.М.</t>
  </si>
  <si>
    <t>АЗС "Пират"</t>
  </si>
  <si>
    <t>АЗС ИП Алахвердиев З.</t>
  </si>
  <si>
    <t>МО Ногайский район  Итого: 4 АЗС</t>
  </si>
  <si>
    <t>АЗС "Гроза"</t>
  </si>
  <si>
    <t>АЗС ИП Зауров К.А.</t>
  </si>
  <si>
    <t>АЗС "Газнефть"</t>
  </si>
  <si>
    <t>АЗС ИП Магомедов А.О.</t>
  </si>
  <si>
    <t>МО Шамильский район  Итого: 6 АЗС</t>
  </si>
  <si>
    <t>АЗС "Шома"</t>
  </si>
  <si>
    <t>АЗС ИП Джамалов К.У.</t>
  </si>
  <si>
    <t>АЗС ИП Исаева В.П.</t>
  </si>
  <si>
    <t>АЗС "Район"</t>
  </si>
  <si>
    <t>АЗС "Кристалл"</t>
  </si>
  <si>
    <t>МО Тляратинский район  Итого: 5 АЗС</t>
  </si>
  <si>
    <t>АЗС ИП Абдуллаев Р.Р.</t>
  </si>
  <si>
    <t>АЗС ИП Зорина К.В.</t>
  </si>
  <si>
    <t>АЗС ИП Магомедов И.</t>
  </si>
  <si>
    <t>АЗС ИП Саидов Ш.Т.</t>
  </si>
  <si>
    <t>АЗС "Спорт"</t>
  </si>
  <si>
    <t>АЗС "Ручей"</t>
  </si>
  <si>
    <t>АЗС "Нафта"</t>
  </si>
  <si>
    <t>АЗС ИП Гасанов В.Р.</t>
  </si>
  <si>
    <t>АЗС ИП Магомедтагиров К.А.</t>
  </si>
  <si>
    <t>АЗС ИП Алисултанов Т.Р.</t>
  </si>
  <si>
    <t>АЗС ИП Алиев М.М.</t>
  </si>
  <si>
    <t>АЗС "Энержди"</t>
  </si>
  <si>
    <t>АЗС ИП Сайгидпашаева П.Р.</t>
  </si>
  <si>
    <t>МО Тарумовский район Итого: 15 АЗС</t>
  </si>
  <si>
    <t>АЗС "ДагПетрол"</t>
  </si>
  <si>
    <t xml:space="preserve">МО Хасавюртовский  район                            Итого: 26 АЗС </t>
  </si>
  <si>
    <t>АЗС "ХАС"</t>
  </si>
  <si>
    <t>АГЗС "Элитгаз"</t>
  </si>
  <si>
    <t>АЗС ИП Исраилов И.З.</t>
  </si>
  <si>
    <t>АЗС ООО "Империя"</t>
  </si>
  <si>
    <t>АЗС ИП Мамаев И.М.</t>
  </si>
  <si>
    <t xml:space="preserve">АЗС ИП Мусаева Д.Т. </t>
  </si>
  <si>
    <t>АЗС ИП Нурмагомедов К.</t>
  </si>
  <si>
    <t>АЗС ИП Таилов Н.Н.</t>
  </si>
  <si>
    <t>АЗС ИП Эльдаров Э.Ю.</t>
  </si>
  <si>
    <t xml:space="preserve">АГЗС ИП Курбанова А.П. </t>
  </si>
  <si>
    <t>АЗС ИП Каримов М.П.</t>
  </si>
  <si>
    <t xml:space="preserve">МО Хивский район Итого: 3 АЗС </t>
  </si>
  <si>
    <t>АЗС ИП Зайнутдинов Г.А.</t>
  </si>
  <si>
    <t>АЗС ИП Суликов П.Р.</t>
  </si>
  <si>
    <t>МО Цумадинский район  Итого: 5 АЗС</t>
  </si>
  <si>
    <t>АЗС "Цумада"</t>
  </si>
  <si>
    <t>АЗС ИП Магомедов М.И.</t>
  </si>
  <si>
    <t>АЗС ИП Магомедова З.С.</t>
  </si>
  <si>
    <t>АЗС "Литра"</t>
  </si>
  <si>
    <t>АЗС ИП Яхъяев У.А.</t>
  </si>
  <si>
    <t>МО Цунтинский район  Итого: 5 АЗС</t>
  </si>
  <si>
    <t>АЗС ИП Нурмагомедова Л.Р.</t>
  </si>
  <si>
    <t>АЗС "Аист"</t>
  </si>
  <si>
    <t>АЗС ИП Загиров Г.Н.</t>
  </si>
  <si>
    <t>АЗС "Спектр"</t>
  </si>
  <si>
    <t>АЗС ИП Лугаев И.М.</t>
  </si>
  <si>
    <t xml:space="preserve">МО Чародинский район Итого: 2 АЗС </t>
  </si>
  <si>
    <t>КФК "ЗАРЯ"</t>
  </si>
  <si>
    <t>АЗС "Кавказ"</t>
  </si>
  <si>
    <t>АЗС ИП Рамазанов Р.И.</t>
  </si>
  <si>
    <t>МО Агульский район                 Итого: 6 АЗС</t>
  </si>
  <si>
    <t>МО г. Дагестанские Огни      Итого: 8 АЗС</t>
  </si>
  <si>
    <t>МО Докузпаринский район   Итого: 3 АЗС</t>
  </si>
  <si>
    <t>МО Сулейман-Стальский район                    Итого: 9 АЗС</t>
  </si>
  <si>
    <t xml:space="preserve">АЗС ИП Шерифов Р.А. </t>
  </si>
  <si>
    <t>АЗС ИП Гаджиев А.Г.</t>
  </si>
  <si>
    <t>АЗС ИП Муртазалиев М.Я.</t>
  </si>
  <si>
    <t>АЗС ИП Пирмагомедов Н.А.</t>
  </si>
  <si>
    <t>АЗС ИП Керямов И.К.</t>
  </si>
  <si>
    <t>АЗС ИП Джабраилов Р.С.</t>
  </si>
  <si>
    <t>АЗС ИП Аллахкулиев А.М.</t>
  </si>
  <si>
    <t>АЗС ИП Ферзалиев Н.М.</t>
  </si>
  <si>
    <t>АЗС ИП Абдурагимов Н.С.</t>
  </si>
  <si>
    <t>АЗС ИП Кулиева Э.Э.</t>
  </si>
  <si>
    <t>АЗС ИП Султанаев А.Ю.</t>
  </si>
  <si>
    <t>АЗС ИП Абдуллаев С.Н.</t>
  </si>
  <si>
    <t xml:space="preserve">МО Рутульский район  Итого: 3 АЗС </t>
  </si>
  <si>
    <t>АЗС ИП Тагиров Т.</t>
  </si>
  <si>
    <t>АЗС "Лукойл" ИП Гаджиев Г.И.</t>
  </si>
  <si>
    <t xml:space="preserve">АЗС "Росс-Нефть" ИП </t>
  </si>
  <si>
    <t>АЗС "Лион"</t>
  </si>
  <si>
    <t>АЗС "Деглигай"</t>
  </si>
  <si>
    <t>МО Сергокалинский район  Итого: 7 АЗС</t>
  </si>
  <si>
    <t>МО Унцукульский район  Итого: 7 АЗС</t>
  </si>
  <si>
    <t>АЗС ИП Абдулаев А.М.</t>
  </si>
  <si>
    <t>АЗС  ИП Магомедалиев  М.А.</t>
  </si>
  <si>
    <t>АЗС ИП Абдулгаджиев А.З.</t>
  </si>
  <si>
    <t>АЗС ИП Ахмедова А.</t>
  </si>
  <si>
    <t>АЗС ИП Баллаев В.М.</t>
  </si>
  <si>
    <t>АЗС ИП Заргалаев А.</t>
  </si>
  <si>
    <t>МО Ахтынский район                 Итого: 7 АЗС</t>
  </si>
  <si>
    <t>МО Гергебильский район   Итого: 7 АЗС</t>
  </si>
  <si>
    <t xml:space="preserve">АЗС "Росснефть" </t>
  </si>
  <si>
    <t>АЗС ИП Асхабов Р.Р.</t>
  </si>
  <si>
    <t xml:space="preserve">АЗС ИП Атавтов А.В. </t>
  </si>
  <si>
    <t>АЗС ИП Магомедов С.Л.</t>
  </si>
  <si>
    <t>АЗС "Южный"</t>
  </si>
  <si>
    <t>АГЗС "С-газ"</t>
  </si>
  <si>
    <t>Сведения о составе участников розничного рынка автомобильных бензинов, дизельного топлива и объемах их реализации, за период с 01.01.2016г. по 31.12.2016г.</t>
  </si>
  <si>
    <t>Итого: 10 городов и 225 АЗС. Реализовано бензина всех марок и ДТ - 518 800 195 литров                      (на ДТ приходится 56 070 145 литров)</t>
  </si>
  <si>
    <t>Итого: 42 района и 415 АЗС. Реализовано бензина всех марок и ДТ - 324 738 549 литров (на ДТ приходится 30 705 489 литров)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</si>
</sst>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4"/>
  <sheetViews>
    <sheetView tabSelected="1" zoomScale="70" zoomScaleNormal="70" workbookViewId="0">
      <selection activeCell="Q2" sqref="Q2"/>
    </sheetView>
  </sheetViews>
  <sheetFormatPr defaultRowHeight="15" x14ac:dyDescent="0.25"/>
  <cols>
    <col min="1" max="1" width="44.42578125" style="1" customWidth="1"/>
    <col min="2" max="2" width="36" style="1" customWidth="1"/>
    <col min="3" max="3" width="29.140625" style="1" customWidth="1"/>
    <col min="4" max="4" width="9.42578125" style="1" customWidth="1"/>
    <col min="5" max="5" width="22.5703125" style="1" customWidth="1"/>
    <col min="6" max="6" width="17.42578125" style="1" customWidth="1"/>
    <col min="7" max="7" width="20.7109375" style="1" customWidth="1"/>
    <col min="8" max="8" width="16.5703125" style="1" customWidth="1"/>
    <col min="9" max="9" width="20.42578125" style="1" customWidth="1"/>
    <col min="10" max="10" width="20.140625" style="1" customWidth="1"/>
    <col min="11" max="11" width="20.7109375" style="1" customWidth="1"/>
    <col min="12" max="12" width="19" style="1" customWidth="1"/>
    <col min="13" max="13" width="23.28515625" style="1" customWidth="1"/>
    <col min="14" max="14" width="19.28515625" style="1" customWidth="1"/>
    <col min="15" max="15" width="18.5703125" style="1" customWidth="1"/>
    <col min="16" max="16" width="21.140625" style="1" customWidth="1"/>
    <col min="17" max="17" width="16.140625" style="1" customWidth="1"/>
    <col min="18" max="18" width="36.140625" style="1" customWidth="1"/>
    <col min="19" max="19" width="11.42578125" style="1" customWidth="1"/>
    <col min="20" max="20" width="16" style="1" customWidth="1"/>
    <col min="21" max="21" width="14.140625" style="1" customWidth="1"/>
    <col min="22" max="22" width="21.140625" style="1" customWidth="1"/>
    <col min="23" max="16384" width="9.140625" style="1"/>
  </cols>
  <sheetData>
    <row r="1" spans="1:23" ht="116.25" customHeight="1" x14ac:dyDescent="0.25">
      <c r="A1" s="44" t="s">
        <v>561</v>
      </c>
      <c r="B1" s="55" t="s">
        <v>560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 t="s">
        <v>562</v>
      </c>
      <c r="N1" s="57"/>
    </row>
    <row r="2" spans="1:23" ht="85.5" customHeight="1" x14ac:dyDescent="0.25">
      <c r="A2" s="69" t="s">
        <v>84</v>
      </c>
      <c r="B2" s="69" t="s">
        <v>0</v>
      </c>
      <c r="C2" s="69" t="s">
        <v>13</v>
      </c>
      <c r="D2" s="69" t="s">
        <v>1</v>
      </c>
      <c r="E2" s="69" t="s">
        <v>3</v>
      </c>
      <c r="F2" s="69"/>
      <c r="G2" s="69" t="s">
        <v>4</v>
      </c>
      <c r="H2" s="69"/>
      <c r="I2" s="69" t="s">
        <v>5</v>
      </c>
      <c r="J2" s="69"/>
      <c r="K2" s="69" t="s">
        <v>6</v>
      </c>
      <c r="L2" s="69"/>
      <c r="M2" s="69" t="s">
        <v>85</v>
      </c>
      <c r="N2" s="69"/>
      <c r="P2" s="24"/>
      <c r="Q2" s="24"/>
      <c r="R2" s="24"/>
      <c r="S2" s="24"/>
    </row>
    <row r="3" spans="1:23" ht="78.75" x14ac:dyDescent="0.25">
      <c r="A3" s="69"/>
      <c r="B3" s="69"/>
      <c r="C3" s="69"/>
      <c r="D3" s="69"/>
      <c r="E3" s="20" t="s">
        <v>7</v>
      </c>
      <c r="F3" s="20" t="s">
        <v>8</v>
      </c>
      <c r="G3" s="20" t="s">
        <v>7</v>
      </c>
      <c r="H3" s="20" t="s">
        <v>8</v>
      </c>
      <c r="I3" s="20" t="s">
        <v>7</v>
      </c>
      <c r="J3" s="20" t="s">
        <v>8</v>
      </c>
      <c r="K3" s="20" t="s">
        <v>7</v>
      </c>
      <c r="L3" s="20" t="s">
        <v>8</v>
      </c>
      <c r="M3" s="26" t="s">
        <v>7</v>
      </c>
      <c r="N3" s="26" t="s">
        <v>8</v>
      </c>
      <c r="P3" s="24"/>
      <c r="Q3" s="28"/>
      <c r="R3" s="24"/>
      <c r="S3" s="24"/>
      <c r="U3" s="34"/>
    </row>
    <row r="4" spans="1:23" ht="15.75" x14ac:dyDescent="0.25">
      <c r="A4" s="68" t="s">
        <v>83</v>
      </c>
      <c r="B4" s="13" t="s">
        <v>9</v>
      </c>
      <c r="C4" s="63" t="s">
        <v>88</v>
      </c>
      <c r="D4" s="4">
        <v>1</v>
      </c>
      <c r="E4" s="4">
        <v>0</v>
      </c>
      <c r="F4" s="29">
        <f>E4/3827.05</f>
        <v>0</v>
      </c>
      <c r="G4" s="4">
        <v>1278995</v>
      </c>
      <c r="H4" s="29">
        <f>G4/1523894.14</f>
        <v>0.83929386328633038</v>
      </c>
      <c r="I4" s="29">
        <v>838412.80000000005</v>
      </c>
      <c r="J4" s="29">
        <f>I4/975507.6</f>
        <v>0.85946311438270706</v>
      </c>
      <c r="K4" s="4">
        <v>0</v>
      </c>
      <c r="L4" s="29">
        <f>K4/26787</f>
        <v>0</v>
      </c>
      <c r="M4" s="33">
        <v>0</v>
      </c>
      <c r="N4" s="33">
        <f>M4/292666.04</f>
        <v>0</v>
      </c>
      <c r="P4" s="28"/>
      <c r="Q4" s="24"/>
      <c r="R4" s="24"/>
      <c r="S4" s="24"/>
      <c r="T4" s="31"/>
      <c r="U4" s="32"/>
      <c r="V4" s="32"/>
    </row>
    <row r="5" spans="1:23" ht="15.75" x14ac:dyDescent="0.25">
      <c r="A5" s="62"/>
      <c r="B5" s="13" t="s">
        <v>10</v>
      </c>
      <c r="C5" s="63"/>
      <c r="D5" s="4">
        <v>1</v>
      </c>
      <c r="E5" s="4">
        <v>0</v>
      </c>
      <c r="F5" s="29">
        <f t="shared" ref="F5:F68" si="0">E5/3827.05</f>
        <v>0</v>
      </c>
      <c r="G5" s="4">
        <v>1578856</v>
      </c>
      <c r="H5" s="29">
        <f t="shared" ref="H5:H68" si="1">G5/1523894.14</f>
        <v>1.0360667178626988</v>
      </c>
      <c r="I5" s="29">
        <v>1119923</v>
      </c>
      <c r="J5" s="29">
        <f t="shared" ref="J5:J68" si="2">I5/975507.6</f>
        <v>1.1480412864030993</v>
      </c>
      <c r="K5" s="4">
        <v>30652</v>
      </c>
      <c r="L5" s="29">
        <f t="shared" ref="L5:L68" si="3">K5/26787</f>
        <v>1.1442864075857693</v>
      </c>
      <c r="M5" s="33">
        <v>382120.59</v>
      </c>
      <c r="N5" s="33">
        <f t="shared" ref="N5:N68" si="4">M5/292666.04</f>
        <v>1.3056540143844502</v>
      </c>
      <c r="P5" s="24"/>
      <c r="Q5" s="24"/>
      <c r="R5" s="24"/>
      <c r="S5" s="24"/>
      <c r="T5" s="31"/>
      <c r="U5" s="32"/>
      <c r="V5" s="32"/>
    </row>
    <row r="6" spans="1:23" ht="15.75" x14ac:dyDescent="0.25">
      <c r="A6" s="62"/>
      <c r="B6" s="13" t="s">
        <v>11</v>
      </c>
      <c r="C6" s="63"/>
      <c r="D6" s="4">
        <v>2</v>
      </c>
      <c r="E6" s="4">
        <v>0</v>
      </c>
      <c r="F6" s="29">
        <f t="shared" si="0"/>
        <v>0</v>
      </c>
      <c r="G6" s="4">
        <v>2959000</v>
      </c>
      <c r="H6" s="29">
        <f t="shared" si="1"/>
        <v>1.94173592661758</v>
      </c>
      <c r="I6" s="29">
        <v>1803216</v>
      </c>
      <c r="J6" s="29">
        <f t="shared" si="2"/>
        <v>1.8484899553832281</v>
      </c>
      <c r="K6" s="4">
        <v>58921</v>
      </c>
      <c r="L6" s="29">
        <f t="shared" si="3"/>
        <v>2.1996117519692389</v>
      </c>
      <c r="M6" s="33">
        <v>607607.28</v>
      </c>
      <c r="N6" s="33">
        <f t="shared" si="4"/>
        <v>2.0761113247030645</v>
      </c>
      <c r="P6" s="24"/>
      <c r="Q6" s="24"/>
      <c r="R6" s="24"/>
      <c r="S6" s="24"/>
      <c r="T6" s="31"/>
      <c r="U6" s="32"/>
      <c r="V6" s="32"/>
    </row>
    <row r="7" spans="1:23" ht="15.75" x14ac:dyDescent="0.25">
      <c r="A7" s="62"/>
      <c r="B7" s="13" t="s">
        <v>12</v>
      </c>
      <c r="C7" s="63"/>
      <c r="D7" s="4">
        <v>1</v>
      </c>
      <c r="E7" s="4">
        <v>0</v>
      </c>
      <c r="F7" s="29">
        <f t="shared" si="0"/>
        <v>0</v>
      </c>
      <c r="G7" s="4">
        <v>780450</v>
      </c>
      <c r="H7" s="29">
        <f t="shared" si="1"/>
        <v>0.51214187358184871</v>
      </c>
      <c r="I7" s="29">
        <v>468944</v>
      </c>
      <c r="J7" s="29">
        <f t="shared" si="2"/>
        <v>0.48071793597507595</v>
      </c>
      <c r="K7" s="4">
        <v>25400</v>
      </c>
      <c r="L7" s="29">
        <f t="shared" si="3"/>
        <v>0.94822115205136825</v>
      </c>
      <c r="M7" s="33">
        <v>167297.52000000002</v>
      </c>
      <c r="N7" s="33">
        <f t="shared" si="4"/>
        <v>0.57163284130950087</v>
      </c>
      <c r="P7" s="24"/>
      <c r="Q7" s="24"/>
      <c r="R7" s="24"/>
      <c r="S7" s="24"/>
      <c r="T7" s="31"/>
      <c r="U7" s="32"/>
      <c r="V7" s="32"/>
    </row>
    <row r="8" spans="1:23" ht="15.75" x14ac:dyDescent="0.25">
      <c r="A8" s="62"/>
      <c r="B8" s="13" t="s">
        <v>14</v>
      </c>
      <c r="C8" s="63"/>
      <c r="D8" s="4">
        <v>1</v>
      </c>
      <c r="E8" s="4">
        <v>0</v>
      </c>
      <c r="F8" s="29">
        <f t="shared" si="0"/>
        <v>0</v>
      </c>
      <c r="G8" s="4">
        <v>970450</v>
      </c>
      <c r="H8" s="29">
        <f t="shared" si="1"/>
        <v>0.63682245014735739</v>
      </c>
      <c r="I8" s="29">
        <v>530544</v>
      </c>
      <c r="J8" s="29">
        <f t="shared" si="2"/>
        <v>0.54386454805682705</v>
      </c>
      <c r="K8" s="4">
        <v>0</v>
      </c>
      <c r="L8" s="29">
        <f t="shared" si="3"/>
        <v>0</v>
      </c>
      <c r="M8" s="33">
        <v>0</v>
      </c>
      <c r="N8" s="33">
        <f t="shared" si="4"/>
        <v>0</v>
      </c>
      <c r="P8" s="24"/>
      <c r="Q8" s="24"/>
      <c r="R8" s="24"/>
      <c r="S8" s="24"/>
      <c r="T8" s="31"/>
      <c r="U8" s="32"/>
      <c r="V8" s="32"/>
    </row>
    <row r="9" spans="1:23" ht="15.75" x14ac:dyDescent="0.25">
      <c r="A9" s="62"/>
      <c r="B9" s="13" t="s">
        <v>142</v>
      </c>
      <c r="C9" s="63"/>
      <c r="D9" s="4">
        <v>1</v>
      </c>
      <c r="E9" s="4">
        <v>17561</v>
      </c>
      <c r="F9" s="29">
        <f t="shared" si="0"/>
        <v>4.588651833657778</v>
      </c>
      <c r="G9" s="4">
        <v>784522</v>
      </c>
      <c r="H9" s="29">
        <f t="shared" si="1"/>
        <v>0.51481397520171579</v>
      </c>
      <c r="I9" s="29">
        <v>571550.07999999996</v>
      </c>
      <c r="J9" s="29">
        <f t="shared" si="2"/>
        <v>0.58590018160801616</v>
      </c>
      <c r="K9" s="4">
        <v>0</v>
      </c>
      <c r="L9" s="29">
        <f t="shared" si="3"/>
        <v>0</v>
      </c>
      <c r="M9" s="33">
        <v>201157.5264</v>
      </c>
      <c r="N9" s="33">
        <f t="shared" si="4"/>
        <v>0.68732787172710585</v>
      </c>
      <c r="P9" s="24"/>
      <c r="Q9" s="24"/>
      <c r="R9" s="24"/>
      <c r="S9" s="24"/>
      <c r="T9" s="31"/>
      <c r="U9" s="32"/>
      <c r="V9" s="32"/>
    </row>
    <row r="10" spans="1:23" ht="15.75" x14ac:dyDescent="0.25">
      <c r="A10" s="62"/>
      <c r="B10" s="13" t="s">
        <v>15</v>
      </c>
      <c r="C10" s="63"/>
      <c r="D10" s="4">
        <v>1</v>
      </c>
      <c r="E10" s="4">
        <v>10250</v>
      </c>
      <c r="F10" s="29">
        <f t="shared" si="0"/>
        <v>2.6783031316549297</v>
      </c>
      <c r="G10" s="4">
        <v>1354066</v>
      </c>
      <c r="H10" s="29">
        <f t="shared" si="1"/>
        <v>0.88855647151448469</v>
      </c>
      <c r="I10" s="29">
        <v>816058.24</v>
      </c>
      <c r="J10" s="29">
        <f t="shared" si="2"/>
        <v>0.83654729086682666</v>
      </c>
      <c r="K10" s="4">
        <v>32100</v>
      </c>
      <c r="L10" s="29">
        <f t="shared" si="3"/>
        <v>1.1983424795609812</v>
      </c>
      <c r="M10" s="33">
        <v>281845.21919999999</v>
      </c>
      <c r="N10" s="33">
        <f t="shared" si="4"/>
        <v>0.96302672903217612</v>
      </c>
      <c r="P10" s="24"/>
      <c r="Q10" s="24"/>
      <c r="R10" s="24"/>
      <c r="S10" s="24"/>
      <c r="T10" s="31"/>
      <c r="U10" s="32"/>
      <c r="V10" s="32"/>
    </row>
    <row r="11" spans="1:23" ht="15.75" x14ac:dyDescent="0.25">
      <c r="A11" s="62"/>
      <c r="B11" s="13" t="s">
        <v>16</v>
      </c>
      <c r="C11" s="63"/>
      <c r="D11" s="4">
        <v>1</v>
      </c>
      <c r="E11" s="4">
        <v>0</v>
      </c>
      <c r="F11" s="29">
        <f t="shared" si="0"/>
        <v>0</v>
      </c>
      <c r="G11" s="4">
        <v>987000</v>
      </c>
      <c r="H11" s="29">
        <f t="shared" si="1"/>
        <v>0.64768278457977402</v>
      </c>
      <c r="I11" s="29">
        <v>701136</v>
      </c>
      <c r="J11" s="29">
        <f t="shared" si="2"/>
        <v>0.71873965922971794</v>
      </c>
      <c r="K11" s="4">
        <v>14230</v>
      </c>
      <c r="L11" s="29">
        <f t="shared" si="3"/>
        <v>0.53122783439728227</v>
      </c>
      <c r="M11" s="33">
        <v>243920.88</v>
      </c>
      <c r="N11" s="33">
        <f t="shared" si="4"/>
        <v>0.83344442696528787</v>
      </c>
      <c r="P11" s="24"/>
      <c r="Q11" s="24"/>
      <c r="R11" s="24"/>
      <c r="S11" s="24"/>
      <c r="T11" s="31"/>
      <c r="U11" s="32"/>
      <c r="V11" s="32"/>
      <c r="W11" s="31"/>
    </row>
    <row r="12" spans="1:23" ht="15.75" x14ac:dyDescent="0.25">
      <c r="A12" s="62"/>
      <c r="B12" s="13" t="s">
        <v>17</v>
      </c>
      <c r="C12" s="63"/>
      <c r="D12" s="4">
        <v>2</v>
      </c>
      <c r="E12" s="4">
        <v>25034</v>
      </c>
      <c r="F12" s="29">
        <f t="shared" si="0"/>
        <v>6.5413307900340989</v>
      </c>
      <c r="G12" s="4">
        <v>1865045</v>
      </c>
      <c r="H12" s="29">
        <f t="shared" si="1"/>
        <v>1.2238678206348377</v>
      </c>
      <c r="I12" s="29">
        <v>1196971.8</v>
      </c>
      <c r="J12" s="29">
        <f t="shared" si="2"/>
        <v>1.2270245767434309</v>
      </c>
      <c r="K12" s="4">
        <v>62012</v>
      </c>
      <c r="L12" s="29">
        <f t="shared" si="3"/>
        <v>2.3150035464964347</v>
      </c>
      <c r="M12" s="33">
        <v>407546.69400000002</v>
      </c>
      <c r="N12" s="33">
        <f t="shared" si="4"/>
        <v>1.3925315489286014</v>
      </c>
      <c r="P12" s="24"/>
      <c r="Q12" s="24"/>
      <c r="R12" s="24"/>
      <c r="S12" s="24"/>
      <c r="T12" s="31"/>
      <c r="U12" s="32"/>
      <c r="V12" s="32"/>
      <c r="W12" s="31"/>
    </row>
    <row r="13" spans="1:23" ht="15.75" x14ac:dyDescent="0.25">
      <c r="A13" s="62"/>
      <c r="B13" s="13" t="s">
        <v>18</v>
      </c>
      <c r="C13" s="63"/>
      <c r="D13" s="4">
        <v>1</v>
      </c>
      <c r="E13" s="4">
        <v>0</v>
      </c>
      <c r="F13" s="29">
        <f t="shared" si="0"/>
        <v>0</v>
      </c>
      <c r="G13" s="4">
        <v>756230</v>
      </c>
      <c r="H13" s="29">
        <f t="shared" si="1"/>
        <v>0.49624838113755071</v>
      </c>
      <c r="I13" s="29">
        <v>437330.2</v>
      </c>
      <c r="J13" s="29">
        <f t="shared" si="2"/>
        <v>0.4483103975817308</v>
      </c>
      <c r="K13" s="4">
        <v>0</v>
      </c>
      <c r="L13" s="29">
        <f t="shared" si="3"/>
        <v>0</v>
      </c>
      <c r="M13" s="33">
        <v>168884.96600000001</v>
      </c>
      <c r="N13" s="33">
        <f t="shared" si="4"/>
        <v>0.57705692809456144</v>
      </c>
      <c r="P13" s="24"/>
      <c r="Q13" s="24"/>
      <c r="R13" s="24"/>
      <c r="S13" s="24"/>
      <c r="T13" s="31"/>
      <c r="U13" s="32"/>
      <c r="V13" s="32"/>
      <c r="W13" s="31"/>
    </row>
    <row r="14" spans="1:23" ht="15.75" x14ac:dyDescent="0.25">
      <c r="A14" s="62"/>
      <c r="B14" s="13" t="s">
        <v>19</v>
      </c>
      <c r="C14" s="63"/>
      <c r="D14" s="4">
        <v>1</v>
      </c>
      <c r="E14" s="4">
        <v>19800</v>
      </c>
      <c r="F14" s="29">
        <f t="shared" si="0"/>
        <v>5.1736977567578162</v>
      </c>
      <c r="G14" s="4">
        <v>950065</v>
      </c>
      <c r="H14" s="29">
        <f t="shared" si="1"/>
        <v>0.62344553670900005</v>
      </c>
      <c r="I14" s="29">
        <v>571384.6</v>
      </c>
      <c r="J14" s="29">
        <f t="shared" si="2"/>
        <v>0.58573054684556014</v>
      </c>
      <c r="K14" s="4">
        <v>12365</v>
      </c>
      <c r="L14" s="29">
        <f t="shared" si="3"/>
        <v>0.46160450965020344</v>
      </c>
      <c r="M14" s="33">
        <v>213122.91800000001</v>
      </c>
      <c r="N14" s="33">
        <f t="shared" si="4"/>
        <v>0.7282119852375083</v>
      </c>
      <c r="P14" s="24"/>
      <c r="Q14" s="24"/>
      <c r="R14" s="24"/>
      <c r="S14" s="24"/>
      <c r="T14" s="31"/>
      <c r="U14" s="32"/>
      <c r="V14" s="32"/>
      <c r="W14" s="31"/>
    </row>
    <row r="15" spans="1:23" ht="15.75" x14ac:dyDescent="0.25">
      <c r="A15" s="62"/>
      <c r="B15" s="13" t="s">
        <v>141</v>
      </c>
      <c r="C15" s="63"/>
      <c r="D15" s="4">
        <v>1</v>
      </c>
      <c r="E15" s="4">
        <v>0</v>
      </c>
      <c r="F15" s="29">
        <f t="shared" si="0"/>
        <v>0</v>
      </c>
      <c r="G15" s="4">
        <v>845605</v>
      </c>
      <c r="H15" s="29">
        <f t="shared" si="1"/>
        <v>0.55489746814040508</v>
      </c>
      <c r="I15" s="29">
        <v>504530.19999999995</v>
      </c>
      <c r="J15" s="29">
        <f t="shared" si="2"/>
        <v>0.5171976107618228</v>
      </c>
      <c r="K15" s="4">
        <v>0</v>
      </c>
      <c r="L15" s="29">
        <f t="shared" si="3"/>
        <v>0</v>
      </c>
      <c r="M15" s="33">
        <v>0</v>
      </c>
      <c r="N15" s="33">
        <f t="shared" si="4"/>
        <v>0</v>
      </c>
      <c r="P15" s="24"/>
      <c r="Q15" s="24"/>
      <c r="R15" s="24"/>
      <c r="S15" s="24"/>
      <c r="T15" s="31"/>
      <c r="U15" s="32"/>
      <c r="V15" s="32"/>
      <c r="W15" s="31"/>
    </row>
    <row r="16" spans="1:23" ht="15.75" x14ac:dyDescent="0.25">
      <c r="A16" s="62"/>
      <c r="B16" s="13" t="s">
        <v>20</v>
      </c>
      <c r="C16" s="63"/>
      <c r="D16" s="4">
        <v>1</v>
      </c>
      <c r="E16" s="4">
        <v>15025</v>
      </c>
      <c r="F16" s="29">
        <f t="shared" si="0"/>
        <v>3.9260004442063727</v>
      </c>
      <c r="G16" s="4">
        <v>960000</v>
      </c>
      <c r="H16" s="29">
        <f t="shared" si="1"/>
        <v>0.62996501843625441</v>
      </c>
      <c r="I16" s="29">
        <v>577743</v>
      </c>
      <c r="J16" s="29">
        <f t="shared" si="2"/>
        <v>0.59224858934979085</v>
      </c>
      <c r="K16" s="4">
        <v>5600</v>
      </c>
      <c r="L16" s="29">
        <f t="shared" si="3"/>
        <v>0.20905663194833315</v>
      </c>
      <c r="M16" s="33">
        <v>215221.19</v>
      </c>
      <c r="N16" s="33">
        <f t="shared" si="4"/>
        <v>0.73538149489431714</v>
      </c>
      <c r="P16" s="24"/>
      <c r="Q16" s="24"/>
      <c r="R16" s="24"/>
      <c r="S16" s="24"/>
      <c r="T16" s="31"/>
      <c r="U16" s="32"/>
      <c r="V16" s="32"/>
      <c r="W16" s="31"/>
    </row>
    <row r="17" spans="1:23" ht="15.75" x14ac:dyDescent="0.25">
      <c r="A17" s="62"/>
      <c r="B17" s="13" t="s">
        <v>21</v>
      </c>
      <c r="C17" s="63"/>
      <c r="D17" s="4">
        <v>2</v>
      </c>
      <c r="E17" s="4">
        <v>0</v>
      </c>
      <c r="F17" s="29">
        <f t="shared" si="0"/>
        <v>0</v>
      </c>
      <c r="G17" s="4">
        <v>1758900</v>
      </c>
      <c r="H17" s="29">
        <f t="shared" si="1"/>
        <v>1.1542140322161749</v>
      </c>
      <c r="I17" s="29">
        <v>1089039</v>
      </c>
      <c r="J17" s="29">
        <f t="shared" si="2"/>
        <v>1.1163818713457487</v>
      </c>
      <c r="K17" s="4">
        <v>25123</v>
      </c>
      <c r="L17" s="29">
        <f t="shared" si="3"/>
        <v>0.93788031507820957</v>
      </c>
      <c r="M17" s="33">
        <v>383948.87</v>
      </c>
      <c r="N17" s="33">
        <f t="shared" si="4"/>
        <v>1.3119009981479233</v>
      </c>
      <c r="P17" s="24"/>
      <c r="Q17" s="24"/>
      <c r="R17" s="24"/>
      <c r="S17" s="24"/>
      <c r="T17" s="31"/>
      <c r="U17" s="32"/>
      <c r="V17" s="32"/>
      <c r="W17" s="31"/>
    </row>
    <row r="18" spans="1:23" ht="15.75" x14ac:dyDescent="0.25">
      <c r="A18" s="62"/>
      <c r="B18" s="13" t="s">
        <v>22</v>
      </c>
      <c r="C18" s="63"/>
      <c r="D18" s="4">
        <v>5</v>
      </c>
      <c r="E18" s="4">
        <v>48562</v>
      </c>
      <c r="F18" s="29">
        <f t="shared" si="0"/>
        <v>12.6891469931148</v>
      </c>
      <c r="G18" s="4">
        <v>8962060</v>
      </c>
      <c r="H18" s="29">
        <f t="shared" si="1"/>
        <v>5.8810253053404358</v>
      </c>
      <c r="I18" s="29">
        <v>5699061.4000000004</v>
      </c>
      <c r="J18" s="29">
        <f t="shared" si="2"/>
        <v>5.8421496664915793</v>
      </c>
      <c r="K18" s="4">
        <v>150322</v>
      </c>
      <c r="L18" s="29">
        <f t="shared" si="3"/>
        <v>5.61175196923881</v>
      </c>
      <c r="M18" s="33">
        <v>1905256.2620000001</v>
      </c>
      <c r="N18" s="33">
        <f t="shared" si="4"/>
        <v>6.5100011672006781</v>
      </c>
      <c r="P18" s="24"/>
      <c r="Q18" s="24"/>
      <c r="R18" s="24"/>
      <c r="S18" s="24"/>
      <c r="T18" s="31"/>
      <c r="U18" s="32"/>
      <c r="V18" s="32"/>
      <c r="W18" s="31"/>
    </row>
    <row r="19" spans="1:23" ht="15.75" x14ac:dyDescent="0.25">
      <c r="A19" s="62"/>
      <c r="B19" s="13" t="s">
        <v>23</v>
      </c>
      <c r="C19" s="63"/>
      <c r="D19" s="4">
        <v>1</v>
      </c>
      <c r="E19" s="4">
        <v>0</v>
      </c>
      <c r="F19" s="29">
        <f t="shared" si="0"/>
        <v>0</v>
      </c>
      <c r="G19" s="4">
        <v>1320056</v>
      </c>
      <c r="H19" s="29">
        <f t="shared" si="1"/>
        <v>0.86623864830925856</v>
      </c>
      <c r="I19" s="29">
        <v>808178.84</v>
      </c>
      <c r="J19" s="29">
        <f t="shared" si="2"/>
        <v>0.82847006009999302</v>
      </c>
      <c r="K19" s="4">
        <v>17000</v>
      </c>
      <c r="L19" s="29">
        <f t="shared" si="3"/>
        <v>0.63463620412886845</v>
      </c>
      <c r="M19" s="33">
        <v>291265.0172</v>
      </c>
      <c r="N19" s="33">
        <f t="shared" si="4"/>
        <v>0.99521289590005058</v>
      </c>
      <c r="P19" s="24"/>
      <c r="Q19" s="24"/>
      <c r="R19" s="24"/>
      <c r="S19" s="24"/>
      <c r="T19" s="31"/>
      <c r="U19" s="32"/>
      <c r="V19" s="32"/>
      <c r="W19" s="31"/>
    </row>
    <row r="20" spans="1:23" ht="15.75" x14ac:dyDescent="0.25">
      <c r="A20" s="62"/>
      <c r="B20" s="13" t="s">
        <v>24</v>
      </c>
      <c r="C20" s="63"/>
      <c r="D20" s="4">
        <v>2</v>
      </c>
      <c r="E20" s="4">
        <v>0</v>
      </c>
      <c r="F20" s="29">
        <f t="shared" si="0"/>
        <v>0</v>
      </c>
      <c r="G20" s="4">
        <v>2960046</v>
      </c>
      <c r="H20" s="29">
        <f t="shared" si="1"/>
        <v>1.9424223260022513</v>
      </c>
      <c r="I20" s="29">
        <v>1857772.44</v>
      </c>
      <c r="J20" s="29">
        <f t="shared" si="2"/>
        <v>1.9044161624163667</v>
      </c>
      <c r="K20" s="4">
        <v>51200</v>
      </c>
      <c r="L20" s="29">
        <f t="shared" si="3"/>
        <v>1.9113749206704744</v>
      </c>
      <c r="M20" s="33">
        <v>637630.90520000004</v>
      </c>
      <c r="N20" s="33">
        <f t="shared" si="4"/>
        <v>2.1786979630434749</v>
      </c>
      <c r="P20" s="24"/>
      <c r="Q20" s="24"/>
      <c r="R20" s="24"/>
      <c r="S20" s="24"/>
      <c r="T20" s="31"/>
      <c r="U20" s="32"/>
      <c r="V20" s="32"/>
      <c r="W20" s="31"/>
    </row>
    <row r="21" spans="1:23" ht="15.75" x14ac:dyDescent="0.25">
      <c r="A21" s="62"/>
      <c r="B21" s="13" t="s">
        <v>25</v>
      </c>
      <c r="C21" s="63"/>
      <c r="D21" s="4">
        <v>1</v>
      </c>
      <c r="E21" s="4">
        <v>0</v>
      </c>
      <c r="F21" s="29">
        <f t="shared" si="0"/>
        <v>0</v>
      </c>
      <c r="G21" s="4">
        <v>1625000</v>
      </c>
      <c r="H21" s="29">
        <f t="shared" si="1"/>
        <v>1.0663470364155347</v>
      </c>
      <c r="I21" s="29">
        <v>1003343</v>
      </c>
      <c r="J21" s="29">
        <f t="shared" si="2"/>
        <v>1.0285342728237075</v>
      </c>
      <c r="K21" s="4">
        <v>20752</v>
      </c>
      <c r="L21" s="29">
        <f t="shared" si="3"/>
        <v>0.77470414753425165</v>
      </c>
      <c r="M21" s="33">
        <v>355669.19</v>
      </c>
      <c r="N21" s="33">
        <f t="shared" si="4"/>
        <v>1.2152731830450845</v>
      </c>
      <c r="P21" s="24"/>
      <c r="Q21" s="24"/>
      <c r="R21" s="24"/>
      <c r="S21" s="24"/>
      <c r="T21" s="31"/>
      <c r="U21" s="32"/>
      <c r="V21" s="32"/>
      <c r="W21" s="31"/>
    </row>
    <row r="22" spans="1:23" ht="15.75" x14ac:dyDescent="0.25">
      <c r="A22" s="62"/>
      <c r="B22" s="13" t="s">
        <v>26</v>
      </c>
      <c r="C22" s="63"/>
      <c r="D22" s="4">
        <v>3</v>
      </c>
      <c r="E22" s="4">
        <v>0</v>
      </c>
      <c r="F22" s="29">
        <f t="shared" si="0"/>
        <v>0</v>
      </c>
      <c r="G22" s="4">
        <v>6895000</v>
      </c>
      <c r="H22" s="29">
        <f t="shared" si="1"/>
        <v>4.5245925022062234</v>
      </c>
      <c r="I22" s="29">
        <v>4376143</v>
      </c>
      <c r="J22" s="29">
        <f t="shared" si="2"/>
        <v>4.486016305767377</v>
      </c>
      <c r="K22" s="4">
        <v>81032</v>
      </c>
      <c r="L22" s="29">
        <f t="shared" si="3"/>
        <v>3.0250494642923806</v>
      </c>
      <c r="M22" s="33">
        <v>1468693.1900000002</v>
      </c>
      <c r="N22" s="33">
        <f t="shared" si="4"/>
        <v>5.0183246064353773</v>
      </c>
      <c r="P22" s="24"/>
      <c r="Q22" s="24"/>
      <c r="R22" s="24"/>
      <c r="S22" s="24"/>
      <c r="T22" s="31"/>
      <c r="U22" s="32"/>
      <c r="V22" s="32"/>
      <c r="W22" s="31"/>
    </row>
    <row r="23" spans="1:23" ht="15.75" x14ac:dyDescent="0.25">
      <c r="A23" s="62"/>
      <c r="B23" s="13" t="s">
        <v>27</v>
      </c>
      <c r="C23" s="63"/>
      <c r="D23" s="4">
        <v>1</v>
      </c>
      <c r="E23" s="4">
        <v>0</v>
      </c>
      <c r="F23" s="29">
        <f t="shared" si="0"/>
        <v>0</v>
      </c>
      <c r="G23" s="4">
        <v>874000</v>
      </c>
      <c r="H23" s="29">
        <f t="shared" si="1"/>
        <v>0.57353065220133992</v>
      </c>
      <c r="I23" s="29">
        <v>522703</v>
      </c>
      <c r="J23" s="29">
        <f t="shared" si="2"/>
        <v>0.53582668141181067</v>
      </c>
      <c r="K23" s="4">
        <v>0</v>
      </c>
      <c r="L23" s="29">
        <f t="shared" si="3"/>
        <v>0</v>
      </c>
      <c r="M23" s="33">
        <v>0</v>
      </c>
      <c r="N23" s="33">
        <f t="shared" si="4"/>
        <v>0</v>
      </c>
      <c r="P23" s="24"/>
      <c r="Q23" s="24"/>
      <c r="R23" s="24"/>
      <c r="S23" s="24"/>
      <c r="T23" s="31"/>
      <c r="U23" s="32"/>
      <c r="V23" s="32"/>
      <c r="W23" s="31"/>
    </row>
    <row r="24" spans="1:23" ht="15.75" x14ac:dyDescent="0.25">
      <c r="A24" s="62"/>
      <c r="B24" s="13" t="s">
        <v>28</v>
      </c>
      <c r="C24" s="63"/>
      <c r="D24" s="4">
        <v>1</v>
      </c>
      <c r="E24" s="4">
        <v>0</v>
      </c>
      <c r="F24" s="29">
        <f t="shared" si="0"/>
        <v>0</v>
      </c>
      <c r="G24" s="4">
        <v>1632000</v>
      </c>
      <c r="H24" s="29">
        <f t="shared" si="1"/>
        <v>1.0709405313416325</v>
      </c>
      <c r="I24" s="29">
        <v>1073003</v>
      </c>
      <c r="J24" s="29">
        <f t="shared" si="2"/>
        <v>1.0999432500577135</v>
      </c>
      <c r="K24" s="4">
        <v>9600</v>
      </c>
      <c r="L24" s="29">
        <f t="shared" si="3"/>
        <v>0.35838279762571396</v>
      </c>
      <c r="M24" s="33">
        <v>361075.99</v>
      </c>
      <c r="N24" s="33">
        <f t="shared" si="4"/>
        <v>1.233747482283903</v>
      </c>
      <c r="P24" s="24"/>
      <c r="Q24" s="24"/>
      <c r="R24" s="24"/>
      <c r="S24" s="24"/>
      <c r="T24" s="31"/>
      <c r="U24" s="32"/>
      <c r="V24" s="32"/>
      <c r="W24" s="31"/>
    </row>
    <row r="25" spans="1:23" ht="15.75" x14ac:dyDescent="0.25">
      <c r="A25" s="62"/>
      <c r="B25" s="13" t="s">
        <v>29</v>
      </c>
      <c r="C25" s="63"/>
      <c r="D25" s="4">
        <v>1</v>
      </c>
      <c r="E25" s="4">
        <v>17740</v>
      </c>
      <c r="F25" s="29">
        <f t="shared" si="0"/>
        <v>4.6354241517618009</v>
      </c>
      <c r="G25" s="4">
        <v>1124000</v>
      </c>
      <c r="H25" s="29">
        <f t="shared" si="1"/>
        <v>0.73758404241911457</v>
      </c>
      <c r="I25" s="29">
        <v>747883</v>
      </c>
      <c r="J25" s="29">
        <f t="shared" si="2"/>
        <v>0.76666035200545846</v>
      </c>
      <c r="K25" s="4">
        <v>11784</v>
      </c>
      <c r="L25" s="29">
        <f t="shared" si="3"/>
        <v>0.4399148840855639</v>
      </c>
      <c r="M25" s="33">
        <v>253786.39</v>
      </c>
      <c r="N25" s="33">
        <f t="shared" si="4"/>
        <v>0.86715353103489567</v>
      </c>
      <c r="P25" s="24"/>
      <c r="Q25" s="24"/>
      <c r="R25" s="24"/>
      <c r="S25" s="24"/>
      <c r="T25" s="31"/>
      <c r="U25" s="32"/>
      <c r="V25" s="32"/>
      <c r="W25" s="31"/>
    </row>
    <row r="26" spans="1:23" ht="15.75" x14ac:dyDescent="0.25">
      <c r="A26" s="62"/>
      <c r="B26" s="13" t="s">
        <v>30</v>
      </c>
      <c r="C26" s="63"/>
      <c r="D26" s="4">
        <v>4</v>
      </c>
      <c r="E26" s="4">
        <v>0</v>
      </c>
      <c r="F26" s="29">
        <f t="shared" si="0"/>
        <v>0</v>
      </c>
      <c r="G26" s="4">
        <v>7890000</v>
      </c>
      <c r="H26" s="29">
        <f t="shared" si="1"/>
        <v>5.1775249952729663</v>
      </c>
      <c r="I26" s="29">
        <v>5078123</v>
      </c>
      <c r="J26" s="29">
        <f t="shared" si="2"/>
        <v>5.205621155591202</v>
      </c>
      <c r="K26" s="4">
        <v>123450</v>
      </c>
      <c r="L26" s="29">
        <f t="shared" si="3"/>
        <v>4.6085787882181659</v>
      </c>
      <c r="M26" s="33">
        <v>1682765.59</v>
      </c>
      <c r="N26" s="33">
        <f t="shared" si="4"/>
        <v>5.7497808423553352</v>
      </c>
      <c r="P26" s="24"/>
      <c r="Q26" s="24"/>
      <c r="R26" s="24"/>
      <c r="S26" s="24"/>
      <c r="T26" s="31"/>
      <c r="U26" s="32"/>
      <c r="V26" s="32"/>
      <c r="W26" s="31"/>
    </row>
    <row r="27" spans="1:23" ht="15.75" x14ac:dyDescent="0.25">
      <c r="A27" s="62"/>
      <c r="B27" s="13" t="s">
        <v>31</v>
      </c>
      <c r="C27" s="63"/>
      <c r="D27" s="4">
        <v>1</v>
      </c>
      <c r="E27" s="4">
        <v>0</v>
      </c>
      <c r="F27" s="29">
        <f t="shared" si="0"/>
        <v>0</v>
      </c>
      <c r="G27" s="4">
        <v>923000</v>
      </c>
      <c r="H27" s="29">
        <f t="shared" si="1"/>
        <v>0.60568511668402381</v>
      </c>
      <c r="I27" s="29">
        <v>619243</v>
      </c>
      <c r="J27" s="29">
        <f t="shared" si="2"/>
        <v>0.63479054391785361</v>
      </c>
      <c r="K27" s="4">
        <v>0</v>
      </c>
      <c r="L27" s="29">
        <f t="shared" si="3"/>
        <v>0</v>
      </c>
      <c r="M27" s="33">
        <v>211335.19</v>
      </c>
      <c r="N27" s="33">
        <f t="shared" si="4"/>
        <v>0.72210356213519</v>
      </c>
      <c r="P27" s="24"/>
      <c r="Q27" s="24"/>
      <c r="R27" s="24"/>
      <c r="S27" s="24"/>
      <c r="T27" s="31"/>
      <c r="U27" s="32"/>
      <c r="V27" s="32"/>
    </row>
    <row r="28" spans="1:23" ht="15.75" x14ac:dyDescent="0.25">
      <c r="A28" s="62"/>
      <c r="B28" s="13" t="s">
        <v>32</v>
      </c>
      <c r="C28" s="63"/>
      <c r="D28" s="4">
        <v>1</v>
      </c>
      <c r="E28" s="4">
        <v>4510</v>
      </c>
      <c r="F28" s="29">
        <f t="shared" si="0"/>
        <v>1.1784533779281692</v>
      </c>
      <c r="G28" s="4">
        <v>986050</v>
      </c>
      <c r="H28" s="29">
        <f t="shared" si="1"/>
        <v>0.64705938169694655</v>
      </c>
      <c r="I28" s="29">
        <v>659595</v>
      </c>
      <c r="J28" s="29">
        <f t="shared" si="2"/>
        <v>0.67615567526075659</v>
      </c>
      <c r="K28" s="4">
        <v>0</v>
      </c>
      <c r="L28" s="29">
        <f t="shared" si="3"/>
        <v>0</v>
      </c>
      <c r="M28" s="33">
        <v>0</v>
      </c>
      <c r="N28" s="33">
        <f t="shared" si="4"/>
        <v>0</v>
      </c>
      <c r="P28" s="24"/>
      <c r="Q28" s="24"/>
      <c r="R28" s="24"/>
      <c r="S28" s="24"/>
      <c r="T28" s="31"/>
      <c r="U28" s="32"/>
      <c r="V28" s="32"/>
    </row>
    <row r="29" spans="1:23" ht="15.75" x14ac:dyDescent="0.25">
      <c r="A29" s="62"/>
      <c r="B29" s="13" t="s">
        <v>33</v>
      </c>
      <c r="C29" s="63"/>
      <c r="D29" s="4">
        <v>1</v>
      </c>
      <c r="E29" s="4">
        <v>9852</v>
      </c>
      <c r="F29" s="29">
        <f t="shared" si="0"/>
        <v>2.5743065807867676</v>
      </c>
      <c r="G29" s="4">
        <v>1780006</v>
      </c>
      <c r="H29" s="29">
        <f t="shared" si="1"/>
        <v>1.1680640756319203</v>
      </c>
      <c r="I29" s="29">
        <v>1167726.8400000001</v>
      </c>
      <c r="J29" s="29">
        <f t="shared" si="2"/>
        <v>1.1970453536189776</v>
      </c>
      <c r="K29" s="4">
        <v>23500</v>
      </c>
      <c r="L29" s="29">
        <f t="shared" si="3"/>
        <v>0.87729122335461229</v>
      </c>
      <c r="M29" s="33">
        <v>392334.85720000003</v>
      </c>
      <c r="N29" s="33">
        <f t="shared" si="4"/>
        <v>1.3405547743086286</v>
      </c>
      <c r="P29" s="24"/>
      <c r="Q29" s="24"/>
      <c r="R29" s="24"/>
      <c r="S29" s="24"/>
      <c r="T29" s="31"/>
      <c r="U29" s="32"/>
      <c r="V29" s="32"/>
    </row>
    <row r="30" spans="1:23" ht="15.75" x14ac:dyDescent="0.25">
      <c r="A30" s="62"/>
      <c r="B30" s="13" t="s">
        <v>140</v>
      </c>
      <c r="C30" s="63"/>
      <c r="D30" s="4">
        <v>1</v>
      </c>
      <c r="E30" s="4">
        <v>0</v>
      </c>
      <c r="F30" s="29">
        <f t="shared" si="0"/>
        <v>0</v>
      </c>
      <c r="G30" s="4">
        <v>1230040</v>
      </c>
      <c r="H30" s="29">
        <f t="shared" si="1"/>
        <v>0.80716892841388577</v>
      </c>
      <c r="I30" s="29">
        <v>815748.6</v>
      </c>
      <c r="J30" s="29">
        <f t="shared" si="2"/>
        <v>0.83622987663038195</v>
      </c>
      <c r="K30" s="4">
        <v>2700</v>
      </c>
      <c r="L30" s="29">
        <f t="shared" si="3"/>
        <v>0.10079516183223206</v>
      </c>
      <c r="M30" s="33">
        <v>27618</v>
      </c>
      <c r="N30" s="33">
        <f t="shared" si="4"/>
        <v>9.4366944658150306E-2</v>
      </c>
      <c r="P30" s="24"/>
      <c r="Q30" s="24"/>
      <c r="R30" s="24"/>
      <c r="S30" s="24"/>
      <c r="T30" s="31"/>
      <c r="U30" s="32"/>
      <c r="V30" s="32"/>
    </row>
    <row r="31" spans="1:23" ht="15.75" x14ac:dyDescent="0.25">
      <c r="A31" s="62"/>
      <c r="B31" s="13" t="s">
        <v>34</v>
      </c>
      <c r="C31" s="63"/>
      <c r="D31" s="4">
        <v>1</v>
      </c>
      <c r="E31" s="4">
        <v>0</v>
      </c>
      <c r="F31" s="29">
        <f t="shared" si="0"/>
        <v>0</v>
      </c>
      <c r="G31" s="4">
        <v>1000560</v>
      </c>
      <c r="H31" s="29">
        <f t="shared" si="1"/>
        <v>0.65658104046518617</v>
      </c>
      <c r="I31" s="29">
        <v>668881.4</v>
      </c>
      <c r="J31" s="29">
        <f t="shared" si="2"/>
        <v>0.68567523205354841</v>
      </c>
      <c r="K31" s="4">
        <v>18600</v>
      </c>
      <c r="L31" s="29">
        <f t="shared" si="3"/>
        <v>0.69436667039982081</v>
      </c>
      <c r="M31" s="33">
        <v>227715.86200000002</v>
      </c>
      <c r="N31" s="33">
        <f t="shared" si="4"/>
        <v>0.77807408744793227</v>
      </c>
      <c r="P31" s="24"/>
      <c r="Q31" s="24"/>
      <c r="R31" s="24"/>
      <c r="S31" s="24"/>
      <c r="T31" s="31"/>
      <c r="U31" s="32"/>
      <c r="V31" s="32"/>
    </row>
    <row r="32" spans="1:23" ht="15.75" x14ac:dyDescent="0.25">
      <c r="A32" s="62"/>
      <c r="B32" s="13" t="s">
        <v>35</v>
      </c>
      <c r="C32" s="63"/>
      <c r="D32" s="4">
        <v>4</v>
      </c>
      <c r="E32" s="4">
        <v>0</v>
      </c>
      <c r="F32" s="29">
        <f t="shared" si="0"/>
        <v>0</v>
      </c>
      <c r="G32" s="4">
        <v>5810670</v>
      </c>
      <c r="H32" s="29">
        <f t="shared" si="1"/>
        <v>3.8130404517468652</v>
      </c>
      <c r="I32" s="29">
        <v>3747351.8000000003</v>
      </c>
      <c r="J32" s="29">
        <f t="shared" si="2"/>
        <v>3.8414378319553846</v>
      </c>
      <c r="K32" s="4">
        <v>134032</v>
      </c>
      <c r="L32" s="29">
        <f t="shared" si="3"/>
        <v>5.0036211595176763</v>
      </c>
      <c r="M32" s="33">
        <v>1243611.094</v>
      </c>
      <c r="N32" s="33">
        <f t="shared" si="4"/>
        <v>4.2492497387124253</v>
      </c>
      <c r="P32" s="24"/>
      <c r="Q32" s="24"/>
      <c r="R32" s="24"/>
      <c r="S32" s="24"/>
      <c r="T32" s="31"/>
      <c r="U32" s="32"/>
      <c r="V32" s="32"/>
    </row>
    <row r="33" spans="1:22" ht="15.75" x14ac:dyDescent="0.25">
      <c r="A33" s="62"/>
      <c r="B33" s="13" t="s">
        <v>36</v>
      </c>
      <c r="C33" s="63"/>
      <c r="D33" s="4">
        <v>1</v>
      </c>
      <c r="E33" s="4">
        <v>0</v>
      </c>
      <c r="F33" s="29">
        <f t="shared" si="0"/>
        <v>0</v>
      </c>
      <c r="G33" s="4">
        <v>1345070</v>
      </c>
      <c r="H33" s="29">
        <f t="shared" si="1"/>
        <v>0.8826531743208883</v>
      </c>
      <c r="I33" s="29">
        <v>889367.8</v>
      </c>
      <c r="J33" s="29">
        <f t="shared" si="2"/>
        <v>0.91169745884091535</v>
      </c>
      <c r="K33" s="4">
        <v>19800</v>
      </c>
      <c r="L33" s="29">
        <f t="shared" si="3"/>
        <v>0.73916452010303502</v>
      </c>
      <c r="M33" s="33">
        <v>300476.37400000001</v>
      </c>
      <c r="N33" s="33">
        <f t="shared" si="4"/>
        <v>1.0266868475754825</v>
      </c>
      <c r="P33" s="24"/>
      <c r="Q33" s="24"/>
      <c r="R33" s="24"/>
      <c r="S33" s="24"/>
      <c r="T33" s="31"/>
      <c r="U33" s="32"/>
      <c r="V33" s="32"/>
    </row>
    <row r="34" spans="1:22" ht="15.75" x14ac:dyDescent="0.25">
      <c r="A34" s="62"/>
      <c r="B34" s="13" t="s">
        <v>37</v>
      </c>
      <c r="C34" s="63"/>
      <c r="D34" s="4">
        <v>1</v>
      </c>
      <c r="E34" s="4">
        <v>0</v>
      </c>
      <c r="F34" s="29">
        <f t="shared" si="0"/>
        <v>0</v>
      </c>
      <c r="G34" s="4">
        <v>895004</v>
      </c>
      <c r="H34" s="29">
        <f t="shared" si="1"/>
        <v>0.58731376183387651</v>
      </c>
      <c r="I34" s="29">
        <v>601325.56000000006</v>
      </c>
      <c r="J34" s="29">
        <f t="shared" si="2"/>
        <v>0.61642324467795029</v>
      </c>
      <c r="K34" s="4">
        <v>24123</v>
      </c>
      <c r="L34" s="29">
        <f t="shared" si="3"/>
        <v>0.90054877365886432</v>
      </c>
      <c r="M34" s="33">
        <v>205422.43480000002</v>
      </c>
      <c r="N34" s="33">
        <f t="shared" si="4"/>
        <v>0.70190048288486095</v>
      </c>
      <c r="P34" s="24"/>
      <c r="Q34" s="24"/>
      <c r="R34" s="24"/>
      <c r="S34" s="24"/>
      <c r="T34" s="31"/>
      <c r="U34" s="32"/>
      <c r="V34" s="32"/>
    </row>
    <row r="35" spans="1:22" ht="15.75" x14ac:dyDescent="0.25">
      <c r="A35" s="62"/>
      <c r="B35" s="13" t="s">
        <v>38</v>
      </c>
      <c r="C35" s="63"/>
      <c r="D35" s="4">
        <v>1</v>
      </c>
      <c r="E35" s="4">
        <v>0</v>
      </c>
      <c r="F35" s="29">
        <f t="shared" si="0"/>
        <v>0</v>
      </c>
      <c r="G35" s="4">
        <v>1465000</v>
      </c>
      <c r="H35" s="29">
        <f t="shared" si="1"/>
        <v>0.96135286667615905</v>
      </c>
      <c r="I35" s="29">
        <v>946554</v>
      </c>
      <c r="J35" s="29">
        <f t="shared" si="2"/>
        <v>0.97031945214983462</v>
      </c>
      <c r="K35" s="4">
        <v>17466</v>
      </c>
      <c r="L35" s="29">
        <f t="shared" si="3"/>
        <v>0.65203270243028333</v>
      </c>
      <c r="M35" s="33">
        <v>319347.82</v>
      </c>
      <c r="N35" s="33">
        <f t="shared" si="4"/>
        <v>1.091168008423526</v>
      </c>
      <c r="P35" s="24"/>
      <c r="Q35" s="24"/>
      <c r="R35" s="24"/>
      <c r="S35" s="24"/>
      <c r="T35" s="31"/>
      <c r="U35" s="32"/>
      <c r="V35" s="32"/>
    </row>
    <row r="36" spans="1:22" ht="15.75" x14ac:dyDescent="0.25">
      <c r="A36" s="62"/>
      <c r="B36" s="13" t="s">
        <v>39</v>
      </c>
      <c r="C36" s="63"/>
      <c r="D36" s="4">
        <v>3</v>
      </c>
      <c r="E36" s="4">
        <v>23600</v>
      </c>
      <c r="F36" s="29">
        <f t="shared" si="0"/>
        <v>6.1666296494689119</v>
      </c>
      <c r="G36" s="4">
        <v>3956000</v>
      </c>
      <c r="H36" s="29">
        <f t="shared" si="1"/>
        <v>2.5959808468060652</v>
      </c>
      <c r="I36" s="29">
        <v>2540794</v>
      </c>
      <c r="J36" s="29">
        <f t="shared" si="2"/>
        <v>2.6045865762604001</v>
      </c>
      <c r="K36" s="4">
        <v>78000</v>
      </c>
      <c r="L36" s="29">
        <f t="shared" si="3"/>
        <v>2.9118602307089261</v>
      </c>
      <c r="M36" s="33">
        <v>845447.02</v>
      </c>
      <c r="N36" s="33">
        <f t="shared" si="4"/>
        <v>2.8887773244890322</v>
      </c>
      <c r="P36" s="24"/>
      <c r="Q36" s="24"/>
      <c r="R36" s="24"/>
      <c r="S36" s="24"/>
      <c r="T36" s="31"/>
      <c r="U36" s="32"/>
      <c r="V36" s="32"/>
    </row>
    <row r="37" spans="1:22" ht="15.75" x14ac:dyDescent="0.25">
      <c r="A37" s="62"/>
      <c r="B37" s="13" t="s">
        <v>40</v>
      </c>
      <c r="C37" s="63"/>
      <c r="D37" s="4">
        <v>1</v>
      </c>
      <c r="E37" s="4">
        <v>0</v>
      </c>
      <c r="F37" s="29">
        <f t="shared" si="0"/>
        <v>0</v>
      </c>
      <c r="G37" s="4">
        <v>1320659</v>
      </c>
      <c r="H37" s="29">
        <f t="shared" si="1"/>
        <v>0.86663434508646386</v>
      </c>
      <c r="I37" s="29">
        <v>854175.76</v>
      </c>
      <c r="J37" s="29">
        <f t="shared" si="2"/>
        <v>0.87562184036290447</v>
      </c>
      <c r="K37" s="4">
        <v>0</v>
      </c>
      <c r="L37" s="29">
        <f t="shared" si="3"/>
        <v>0</v>
      </c>
      <c r="M37" s="33">
        <v>0</v>
      </c>
      <c r="N37" s="33">
        <f t="shared" si="4"/>
        <v>0</v>
      </c>
      <c r="P37" s="24"/>
      <c r="Q37" s="24"/>
      <c r="R37" s="24"/>
      <c r="S37" s="24"/>
      <c r="T37" s="31"/>
      <c r="U37" s="32"/>
      <c r="V37" s="32"/>
    </row>
    <row r="38" spans="1:22" ht="15.75" x14ac:dyDescent="0.25">
      <c r="A38" s="62"/>
      <c r="B38" s="13" t="s">
        <v>41</v>
      </c>
      <c r="C38" s="63"/>
      <c r="D38" s="4">
        <v>1</v>
      </c>
      <c r="E38" s="4">
        <v>0</v>
      </c>
      <c r="F38" s="29">
        <f t="shared" si="0"/>
        <v>0</v>
      </c>
      <c r="G38" s="4">
        <v>1598560</v>
      </c>
      <c r="H38" s="29">
        <f t="shared" si="1"/>
        <v>1.048996749866103</v>
      </c>
      <c r="I38" s="29">
        <v>1032032.4</v>
      </c>
      <c r="J38" s="29">
        <f t="shared" si="2"/>
        <v>1.0579439873149119</v>
      </c>
      <c r="K38" s="4">
        <v>32056</v>
      </c>
      <c r="L38" s="29">
        <f t="shared" si="3"/>
        <v>1.1966998917385299</v>
      </c>
      <c r="M38" s="33">
        <v>348995.69200000004</v>
      </c>
      <c r="N38" s="33">
        <f t="shared" si="4"/>
        <v>1.1924707492539963</v>
      </c>
      <c r="P38" s="24"/>
      <c r="Q38" s="24"/>
      <c r="R38" s="24"/>
      <c r="S38" s="24"/>
      <c r="T38" s="31"/>
      <c r="U38" s="32"/>
      <c r="V38" s="32"/>
    </row>
    <row r="39" spans="1:22" ht="15.75" x14ac:dyDescent="0.25">
      <c r="A39" s="62"/>
      <c r="B39" s="13" t="s">
        <v>42</v>
      </c>
      <c r="C39" s="63"/>
      <c r="D39" s="4">
        <v>1</v>
      </c>
      <c r="E39" s="4">
        <v>0</v>
      </c>
      <c r="F39" s="29">
        <f t="shared" si="0"/>
        <v>0</v>
      </c>
      <c r="G39" s="4">
        <v>1389000</v>
      </c>
      <c r="H39" s="29">
        <f t="shared" si="1"/>
        <v>0.91148063604995555</v>
      </c>
      <c r="I39" s="29">
        <v>897914</v>
      </c>
      <c r="J39" s="29">
        <f t="shared" si="2"/>
        <v>0.92045823118138703</v>
      </c>
      <c r="K39" s="4">
        <v>37410</v>
      </c>
      <c r="L39" s="29">
        <f t="shared" si="3"/>
        <v>1.3965729644977041</v>
      </c>
      <c r="M39" s="33">
        <v>304736.62</v>
      </c>
      <c r="N39" s="33">
        <f t="shared" si="4"/>
        <v>1.0412435279474175</v>
      </c>
      <c r="P39" s="24"/>
      <c r="Q39" s="24"/>
      <c r="R39" s="24"/>
      <c r="S39" s="24"/>
      <c r="T39" s="31"/>
      <c r="U39" s="32"/>
      <c r="V39" s="32"/>
    </row>
    <row r="40" spans="1:22" ht="15.75" x14ac:dyDescent="0.25">
      <c r="A40" s="62"/>
      <c r="B40" s="13" t="s">
        <v>22</v>
      </c>
      <c r="C40" s="63"/>
      <c r="D40" s="4">
        <v>2</v>
      </c>
      <c r="E40" s="4">
        <v>0</v>
      </c>
      <c r="F40" s="29">
        <f t="shared" si="0"/>
        <v>0</v>
      </c>
      <c r="G40" s="4">
        <v>3650045</v>
      </c>
      <c r="H40" s="29">
        <f t="shared" si="1"/>
        <v>2.3952090267897481</v>
      </c>
      <c r="I40" s="29">
        <v>2344982.8000000003</v>
      </c>
      <c r="J40" s="29">
        <f t="shared" si="2"/>
        <v>2.4038590780840665</v>
      </c>
      <c r="K40" s="4">
        <v>70566</v>
      </c>
      <c r="L40" s="29">
        <f t="shared" si="3"/>
        <v>2.6343375517975138</v>
      </c>
      <c r="M40" s="33">
        <v>782269.32400000014</v>
      </c>
      <c r="N40" s="33">
        <f t="shared" si="4"/>
        <v>2.6729077415336615</v>
      </c>
      <c r="P40" s="24"/>
      <c r="Q40" s="24"/>
      <c r="R40" s="24"/>
      <c r="S40" s="24"/>
      <c r="T40" s="31"/>
      <c r="U40" s="32"/>
      <c r="V40" s="32"/>
    </row>
    <row r="41" spans="1:22" ht="15.75" x14ac:dyDescent="0.25">
      <c r="A41" s="62"/>
      <c r="B41" s="13" t="s">
        <v>43</v>
      </c>
      <c r="C41" s="63"/>
      <c r="D41" s="4">
        <v>1</v>
      </c>
      <c r="E41" s="4">
        <v>6700</v>
      </c>
      <c r="F41" s="29">
        <f t="shared" si="0"/>
        <v>1.750695705569564</v>
      </c>
      <c r="G41" s="4">
        <v>1650000</v>
      </c>
      <c r="H41" s="29">
        <f t="shared" si="1"/>
        <v>1.0827523754373123</v>
      </c>
      <c r="I41" s="29">
        <v>1064954</v>
      </c>
      <c r="J41" s="29">
        <f t="shared" si="2"/>
        <v>1.0916921610861874</v>
      </c>
      <c r="K41" s="4">
        <v>13566</v>
      </c>
      <c r="L41" s="29">
        <f t="shared" si="3"/>
        <v>0.50643969089483709</v>
      </c>
      <c r="M41" s="33">
        <v>359859.82</v>
      </c>
      <c r="N41" s="33">
        <f t="shared" si="4"/>
        <v>1.2295919950261398</v>
      </c>
      <c r="P41" s="24"/>
      <c r="Q41" s="24"/>
      <c r="R41" s="24"/>
      <c r="S41" s="24"/>
      <c r="T41" s="31"/>
      <c r="U41" s="32"/>
      <c r="V41" s="32"/>
    </row>
    <row r="42" spans="1:22" ht="15.75" x14ac:dyDescent="0.25">
      <c r="A42" s="62"/>
      <c r="B42" s="13" t="s">
        <v>44</v>
      </c>
      <c r="C42" s="63"/>
      <c r="D42" s="4">
        <v>1</v>
      </c>
      <c r="E42" s="4">
        <v>18450</v>
      </c>
      <c r="F42" s="29">
        <f t="shared" si="0"/>
        <v>4.8209456369788741</v>
      </c>
      <c r="G42" s="4">
        <v>986000</v>
      </c>
      <c r="H42" s="29">
        <f t="shared" si="1"/>
        <v>0.64702657101890293</v>
      </c>
      <c r="I42" s="29">
        <v>639994</v>
      </c>
      <c r="J42" s="29">
        <f t="shared" si="2"/>
        <v>0.656062546309224</v>
      </c>
      <c r="K42" s="4">
        <v>7000</v>
      </c>
      <c r="L42" s="29">
        <f t="shared" si="3"/>
        <v>0.26132078993541641</v>
      </c>
      <c r="M42" s="33">
        <v>219623.02000000002</v>
      </c>
      <c r="N42" s="33">
        <f t="shared" si="4"/>
        <v>0.75042194851168942</v>
      </c>
      <c r="P42" s="24"/>
      <c r="Q42" s="24"/>
      <c r="R42" s="24"/>
      <c r="S42" s="24"/>
      <c r="T42" s="31"/>
      <c r="U42" s="32"/>
      <c r="V42" s="32"/>
    </row>
    <row r="43" spans="1:22" ht="15.75" x14ac:dyDescent="0.25">
      <c r="A43" s="62"/>
      <c r="B43" s="13" t="s">
        <v>45</v>
      </c>
      <c r="C43" s="63"/>
      <c r="D43" s="4">
        <v>1</v>
      </c>
      <c r="E43" s="4">
        <v>4094</v>
      </c>
      <c r="F43" s="29">
        <f t="shared" si="0"/>
        <v>1.0697534654629544</v>
      </c>
      <c r="G43" s="4">
        <v>1405236</v>
      </c>
      <c r="H43" s="29">
        <f t="shared" si="1"/>
        <v>0.92213491942425874</v>
      </c>
      <c r="I43" s="29">
        <v>908305.04</v>
      </c>
      <c r="J43" s="29">
        <f t="shared" si="2"/>
        <v>0.93111016254512013</v>
      </c>
      <c r="K43" s="4">
        <v>6000</v>
      </c>
      <c r="L43" s="29">
        <f t="shared" si="3"/>
        <v>0.22398924851607122</v>
      </c>
      <c r="M43" s="33">
        <v>0</v>
      </c>
      <c r="N43" s="33">
        <f t="shared" si="4"/>
        <v>0</v>
      </c>
      <c r="P43" s="24"/>
      <c r="Q43" s="24"/>
      <c r="R43" s="24"/>
      <c r="S43" s="24"/>
      <c r="T43" s="31"/>
      <c r="U43" s="32"/>
      <c r="V43" s="32"/>
    </row>
    <row r="44" spans="1:22" ht="15.75" x14ac:dyDescent="0.25">
      <c r="A44" s="62"/>
      <c r="B44" s="13" t="s">
        <v>46</v>
      </c>
      <c r="C44" s="63"/>
      <c r="D44" s="4">
        <v>1</v>
      </c>
      <c r="E44" s="4">
        <v>0</v>
      </c>
      <c r="F44" s="29">
        <f t="shared" si="0"/>
        <v>0</v>
      </c>
      <c r="G44" s="4">
        <v>1140250</v>
      </c>
      <c r="H44" s="29">
        <f t="shared" si="1"/>
        <v>0.74824751278326984</v>
      </c>
      <c r="I44" s="29">
        <v>738714</v>
      </c>
      <c r="J44" s="29">
        <f t="shared" si="2"/>
        <v>0.75726114281426415</v>
      </c>
      <c r="K44" s="4">
        <v>15090</v>
      </c>
      <c r="L44" s="29">
        <f t="shared" si="3"/>
        <v>0.5633329600179191</v>
      </c>
      <c r="M44" s="33">
        <v>252200.62000000002</v>
      </c>
      <c r="N44" s="33">
        <f t="shared" si="4"/>
        <v>0.86173517091357799</v>
      </c>
      <c r="P44" s="24"/>
      <c r="Q44" s="24"/>
      <c r="R44" s="24"/>
      <c r="S44" s="24"/>
      <c r="T44" s="31"/>
      <c r="U44" s="32"/>
      <c r="V44" s="32"/>
    </row>
    <row r="45" spans="1:22" ht="15.75" x14ac:dyDescent="0.25">
      <c r="A45" s="62"/>
      <c r="B45" s="13" t="s">
        <v>47</v>
      </c>
      <c r="C45" s="63"/>
      <c r="D45" s="4">
        <v>1</v>
      </c>
      <c r="E45" s="4">
        <v>0</v>
      </c>
      <c r="F45" s="29">
        <f t="shared" si="0"/>
        <v>0</v>
      </c>
      <c r="G45" s="4">
        <v>1623000</v>
      </c>
      <c r="H45" s="29">
        <f t="shared" si="1"/>
        <v>1.0650346092937926</v>
      </c>
      <c r="I45" s="29">
        <v>1047674</v>
      </c>
      <c r="J45" s="29">
        <f t="shared" si="2"/>
        <v>1.0739783062684494</v>
      </c>
      <c r="K45" s="4">
        <v>0</v>
      </c>
      <c r="L45" s="29">
        <f t="shared" si="3"/>
        <v>0</v>
      </c>
      <c r="M45" s="33">
        <v>0</v>
      </c>
      <c r="N45" s="33">
        <f t="shared" si="4"/>
        <v>0</v>
      </c>
      <c r="P45" s="24"/>
      <c r="Q45" s="24"/>
      <c r="R45" s="24"/>
      <c r="S45" s="24"/>
      <c r="T45" s="31"/>
      <c r="U45" s="32"/>
      <c r="V45" s="32"/>
    </row>
    <row r="46" spans="1:22" ht="15.75" x14ac:dyDescent="0.25">
      <c r="A46" s="62"/>
      <c r="B46" s="13" t="s">
        <v>48</v>
      </c>
      <c r="C46" s="63"/>
      <c r="D46" s="4">
        <v>1</v>
      </c>
      <c r="E46" s="4">
        <v>8956</v>
      </c>
      <c r="F46" s="29">
        <f t="shared" si="0"/>
        <v>2.3401836924001516</v>
      </c>
      <c r="G46" s="4">
        <v>960520</v>
      </c>
      <c r="H46" s="29">
        <f t="shared" si="1"/>
        <v>0.63030624948790737</v>
      </c>
      <c r="I46" s="29">
        <v>623686.80000000005</v>
      </c>
      <c r="J46" s="29">
        <f t="shared" si="2"/>
        <v>0.6393459159108551</v>
      </c>
      <c r="K46" s="4">
        <v>23741</v>
      </c>
      <c r="L46" s="29">
        <f t="shared" si="3"/>
        <v>0.88628812483667452</v>
      </c>
      <c r="M46" s="33">
        <v>214241.64400000003</v>
      </c>
      <c r="N46" s="33">
        <f t="shared" si="4"/>
        <v>0.73203451961833377</v>
      </c>
      <c r="P46" s="24"/>
      <c r="Q46" s="24"/>
      <c r="R46" s="24"/>
      <c r="S46" s="24"/>
      <c r="T46" s="31"/>
      <c r="U46" s="32"/>
      <c r="V46" s="32"/>
    </row>
    <row r="47" spans="1:22" ht="15.75" x14ac:dyDescent="0.25">
      <c r="A47" s="62"/>
      <c r="B47" s="13" t="s">
        <v>49</v>
      </c>
      <c r="C47" s="63"/>
      <c r="D47" s="4">
        <v>1</v>
      </c>
      <c r="E47" s="4">
        <v>0</v>
      </c>
      <c r="F47" s="29">
        <f t="shared" si="0"/>
        <v>0</v>
      </c>
      <c r="G47" s="4">
        <v>1750000</v>
      </c>
      <c r="H47" s="29">
        <f t="shared" si="1"/>
        <v>1.148373731524422</v>
      </c>
      <c r="I47" s="29">
        <v>1128954</v>
      </c>
      <c r="J47" s="29">
        <f t="shared" si="2"/>
        <v>1.1572990307815132</v>
      </c>
      <c r="K47" s="4">
        <v>14700</v>
      </c>
      <c r="L47" s="29">
        <f t="shared" si="3"/>
        <v>0.54877365886437446</v>
      </c>
      <c r="M47" s="33">
        <v>380979.82</v>
      </c>
      <c r="N47" s="33">
        <f t="shared" si="4"/>
        <v>1.3017561586578341</v>
      </c>
      <c r="P47" s="24"/>
      <c r="Q47" s="24"/>
      <c r="R47" s="24"/>
      <c r="S47" s="24"/>
      <c r="T47" s="31"/>
      <c r="U47" s="32"/>
      <c r="V47" s="32"/>
    </row>
    <row r="48" spans="1:22" ht="15.75" x14ac:dyDescent="0.25">
      <c r="A48" s="62"/>
      <c r="B48" s="13" t="s">
        <v>50</v>
      </c>
      <c r="C48" s="63"/>
      <c r="D48" s="4">
        <v>1</v>
      </c>
      <c r="E48" s="4">
        <v>0</v>
      </c>
      <c r="F48" s="29">
        <f t="shared" si="0"/>
        <v>0</v>
      </c>
      <c r="G48" s="4">
        <v>910236</v>
      </c>
      <c r="H48" s="29">
        <f t="shared" si="1"/>
        <v>0.5973092067930651</v>
      </c>
      <c r="I48" s="29">
        <v>575093.04</v>
      </c>
      <c r="J48" s="29">
        <f t="shared" si="2"/>
        <v>0.58953209590576239</v>
      </c>
      <c r="K48" s="4">
        <v>17877</v>
      </c>
      <c r="L48" s="29">
        <f t="shared" si="3"/>
        <v>0.66737596595363424</v>
      </c>
      <c r="M48" s="33">
        <v>198205</v>
      </c>
      <c r="N48" s="33">
        <f t="shared" si="4"/>
        <v>0.67723949112783988</v>
      </c>
      <c r="P48" s="24"/>
      <c r="Q48" s="24"/>
      <c r="R48" s="24"/>
      <c r="S48" s="24"/>
      <c r="T48" s="31"/>
      <c r="U48" s="32"/>
      <c r="V48" s="32"/>
    </row>
    <row r="49" spans="1:22" ht="15.75" x14ac:dyDescent="0.25">
      <c r="A49" s="62"/>
      <c r="B49" s="13" t="s">
        <v>51</v>
      </c>
      <c r="C49" s="63"/>
      <c r="D49" s="4">
        <v>1</v>
      </c>
      <c r="E49" s="4">
        <v>0</v>
      </c>
      <c r="F49" s="29">
        <f t="shared" si="0"/>
        <v>0</v>
      </c>
      <c r="G49" s="4">
        <v>1300300</v>
      </c>
      <c r="H49" s="29">
        <f t="shared" si="1"/>
        <v>0.85327449320068915</v>
      </c>
      <c r="I49" s="29">
        <v>824734</v>
      </c>
      <c r="J49" s="29">
        <f t="shared" si="2"/>
        <v>0.84544087611413798</v>
      </c>
      <c r="K49" s="4">
        <v>21547</v>
      </c>
      <c r="L49" s="29">
        <f t="shared" si="3"/>
        <v>0.80438272296263114</v>
      </c>
      <c r="M49" s="33">
        <v>280587.22000000003</v>
      </c>
      <c r="N49" s="33">
        <f t="shared" si="4"/>
        <v>0.95872831709480211</v>
      </c>
      <c r="P49" s="24"/>
      <c r="Q49" s="24"/>
      <c r="R49" s="24"/>
      <c r="S49" s="24"/>
      <c r="T49" s="31"/>
      <c r="U49" s="32"/>
      <c r="V49" s="32"/>
    </row>
    <row r="50" spans="1:22" ht="15.75" x14ac:dyDescent="0.25">
      <c r="A50" s="62"/>
      <c r="B50" s="13" t="s">
        <v>52</v>
      </c>
      <c r="C50" s="63"/>
      <c r="D50" s="4">
        <v>2</v>
      </c>
      <c r="E50" s="4">
        <v>20860</v>
      </c>
      <c r="F50" s="29">
        <f t="shared" si="0"/>
        <v>5.4506734952509106</v>
      </c>
      <c r="G50" s="4">
        <v>2203568</v>
      </c>
      <c r="H50" s="29">
        <f t="shared" si="1"/>
        <v>1.4460112039016044</v>
      </c>
      <c r="I50" s="29">
        <v>1402825.52</v>
      </c>
      <c r="J50" s="29">
        <f t="shared" si="2"/>
        <v>1.4380467358737135</v>
      </c>
      <c r="K50" s="4">
        <v>27845</v>
      </c>
      <c r="L50" s="29">
        <f t="shared" si="3"/>
        <v>1.0394967708216671</v>
      </c>
      <c r="M50" s="33">
        <v>471357.4216</v>
      </c>
      <c r="N50" s="33">
        <f t="shared" si="4"/>
        <v>1.6105641146475349</v>
      </c>
      <c r="P50" s="24"/>
      <c r="Q50" s="24"/>
      <c r="R50" s="24"/>
      <c r="S50" s="24"/>
      <c r="T50" s="31"/>
      <c r="U50" s="32"/>
      <c r="V50" s="32"/>
    </row>
    <row r="51" spans="1:22" ht="15.75" x14ac:dyDescent="0.25">
      <c r="A51" s="62"/>
      <c r="B51" s="13" t="s">
        <v>53</v>
      </c>
      <c r="C51" s="63"/>
      <c r="D51" s="4">
        <v>1</v>
      </c>
      <c r="E51" s="4">
        <v>0</v>
      </c>
      <c r="F51" s="29">
        <f t="shared" si="0"/>
        <v>0</v>
      </c>
      <c r="G51" s="4">
        <v>0</v>
      </c>
      <c r="H51" s="29">
        <f t="shared" si="1"/>
        <v>0</v>
      </c>
      <c r="I51" s="29">
        <v>0</v>
      </c>
      <c r="J51" s="29">
        <f t="shared" si="2"/>
        <v>0</v>
      </c>
      <c r="K51" s="4">
        <v>0</v>
      </c>
      <c r="L51" s="29">
        <f t="shared" si="3"/>
        <v>0</v>
      </c>
      <c r="M51" s="33">
        <v>0</v>
      </c>
      <c r="N51" s="33">
        <f t="shared" si="4"/>
        <v>0</v>
      </c>
      <c r="P51" s="24"/>
      <c r="Q51" s="24"/>
      <c r="R51" s="24"/>
      <c r="S51" s="24"/>
      <c r="T51" s="31"/>
      <c r="U51" s="32"/>
      <c r="V51" s="32"/>
    </row>
    <row r="52" spans="1:22" ht="15.75" x14ac:dyDescent="0.25">
      <c r="A52" s="62"/>
      <c r="B52" s="13" t="s">
        <v>54</v>
      </c>
      <c r="C52" s="63"/>
      <c r="D52" s="4">
        <v>1</v>
      </c>
      <c r="E52" s="4">
        <v>0</v>
      </c>
      <c r="F52" s="29">
        <f t="shared" si="0"/>
        <v>0</v>
      </c>
      <c r="G52" s="4">
        <v>953250</v>
      </c>
      <c r="H52" s="29">
        <f t="shared" si="1"/>
        <v>0.62553557690037453</v>
      </c>
      <c r="I52" s="29">
        <v>602622</v>
      </c>
      <c r="J52" s="29">
        <f t="shared" si="2"/>
        <v>0.61775223483650976</v>
      </c>
      <c r="K52" s="4">
        <v>4860</v>
      </c>
      <c r="L52" s="29">
        <f t="shared" si="3"/>
        <v>0.18143129129801769</v>
      </c>
      <c r="M52" s="33">
        <v>0</v>
      </c>
      <c r="N52" s="33">
        <f t="shared" si="4"/>
        <v>0</v>
      </c>
      <c r="P52" s="24"/>
      <c r="Q52" s="24"/>
      <c r="R52" s="24"/>
      <c r="S52" s="24"/>
      <c r="T52" s="31"/>
      <c r="U52" s="32"/>
      <c r="V52" s="32"/>
    </row>
    <row r="53" spans="1:22" ht="15.75" x14ac:dyDescent="0.25">
      <c r="A53" s="62"/>
      <c r="B53" s="13" t="s">
        <v>55</v>
      </c>
      <c r="C53" s="63"/>
      <c r="D53" s="4">
        <v>1</v>
      </c>
      <c r="E53" s="4">
        <v>19855</v>
      </c>
      <c r="F53" s="29">
        <f t="shared" si="0"/>
        <v>5.1880691394154761</v>
      </c>
      <c r="G53" s="4">
        <v>1650000</v>
      </c>
      <c r="H53" s="29">
        <f t="shared" si="1"/>
        <v>1.0827523754373123</v>
      </c>
      <c r="I53" s="29">
        <v>1048542</v>
      </c>
      <c r="J53" s="29">
        <f t="shared" si="2"/>
        <v>1.0748680994386923</v>
      </c>
      <c r="K53" s="4">
        <v>48600</v>
      </c>
      <c r="L53" s="29">
        <f t="shared" si="3"/>
        <v>1.8143129129801769</v>
      </c>
      <c r="M53" s="33">
        <v>358383.86000000004</v>
      </c>
      <c r="N53" s="33">
        <f t="shared" si="4"/>
        <v>1.2245488407196137</v>
      </c>
      <c r="P53" s="24"/>
      <c r="Q53" s="24"/>
      <c r="R53" s="24"/>
      <c r="S53" s="24"/>
      <c r="T53" s="31"/>
      <c r="U53" s="32"/>
      <c r="V53" s="32"/>
    </row>
    <row r="54" spans="1:22" ht="15.75" x14ac:dyDescent="0.25">
      <c r="A54" s="62"/>
      <c r="B54" s="13" t="s">
        <v>56</v>
      </c>
      <c r="C54" s="63"/>
      <c r="D54" s="4">
        <v>1</v>
      </c>
      <c r="E54" s="4">
        <v>0</v>
      </c>
      <c r="F54" s="29">
        <f t="shared" si="0"/>
        <v>0</v>
      </c>
      <c r="G54" s="4">
        <v>1104507</v>
      </c>
      <c r="H54" s="29">
        <f t="shared" si="1"/>
        <v>0.72479247147705417</v>
      </c>
      <c r="I54" s="29">
        <v>699426.48</v>
      </c>
      <c r="J54" s="29">
        <f t="shared" si="2"/>
        <v>0.7169872177315687</v>
      </c>
      <c r="K54" s="4">
        <v>24587</v>
      </c>
      <c r="L54" s="29">
        <f t="shared" si="3"/>
        <v>0.91787060887744054</v>
      </c>
      <c r="M54" s="33">
        <v>243175.7384</v>
      </c>
      <c r="N54" s="33">
        <f t="shared" si="4"/>
        <v>0.8308983796001751</v>
      </c>
      <c r="P54" s="24"/>
      <c r="Q54" s="24"/>
      <c r="R54" s="24"/>
      <c r="S54" s="24"/>
      <c r="T54" s="31"/>
      <c r="U54" s="32"/>
      <c r="V54" s="32"/>
    </row>
    <row r="55" spans="1:22" ht="15.75" x14ac:dyDescent="0.25">
      <c r="A55" s="62"/>
      <c r="B55" s="13" t="s">
        <v>57</v>
      </c>
      <c r="C55" s="63"/>
      <c r="D55" s="4">
        <v>1</v>
      </c>
      <c r="E55" s="4">
        <v>7502</v>
      </c>
      <c r="F55" s="29">
        <f t="shared" si="0"/>
        <v>1.9602565945049057</v>
      </c>
      <c r="G55" s="4">
        <v>800750</v>
      </c>
      <c r="H55" s="29">
        <f t="shared" si="1"/>
        <v>0.52546300886753206</v>
      </c>
      <c r="I55" s="29">
        <v>505022</v>
      </c>
      <c r="J55" s="29">
        <f t="shared" si="2"/>
        <v>0.51770175855113787</v>
      </c>
      <c r="K55" s="4">
        <v>15240</v>
      </c>
      <c r="L55" s="29">
        <f t="shared" si="3"/>
        <v>0.56893269123082091</v>
      </c>
      <c r="M55" s="33">
        <v>179022.26</v>
      </c>
      <c r="N55" s="33">
        <f t="shared" si="4"/>
        <v>0.61169468107744929</v>
      </c>
      <c r="P55" s="24"/>
      <c r="Q55" s="24"/>
      <c r="R55" s="24"/>
      <c r="S55" s="24"/>
      <c r="T55" s="31"/>
      <c r="U55" s="32"/>
      <c r="V55" s="32"/>
    </row>
    <row r="56" spans="1:22" ht="15.75" x14ac:dyDescent="0.25">
      <c r="A56" s="62"/>
      <c r="B56" s="13" t="s">
        <v>58</v>
      </c>
      <c r="C56" s="63"/>
      <c r="D56" s="4">
        <v>1</v>
      </c>
      <c r="E56" s="4">
        <v>0</v>
      </c>
      <c r="F56" s="29">
        <f t="shared" si="0"/>
        <v>0</v>
      </c>
      <c r="G56" s="4">
        <v>1450233</v>
      </c>
      <c r="H56" s="29">
        <f t="shared" si="1"/>
        <v>0.95166256102277558</v>
      </c>
      <c r="I56" s="29">
        <v>920691.12</v>
      </c>
      <c r="J56" s="29">
        <f t="shared" si="2"/>
        <v>0.94380722405443074</v>
      </c>
      <c r="K56" s="4">
        <v>36200</v>
      </c>
      <c r="L56" s="29">
        <f t="shared" si="3"/>
        <v>1.3514017993802965</v>
      </c>
      <c r="M56" s="33">
        <v>316193.06959999999</v>
      </c>
      <c r="N56" s="33">
        <f t="shared" si="4"/>
        <v>1.0803886559574867</v>
      </c>
      <c r="P56" s="24"/>
      <c r="Q56" s="24"/>
      <c r="R56" s="24"/>
      <c r="S56" s="24"/>
      <c r="T56" s="31"/>
      <c r="U56" s="32"/>
      <c r="V56" s="32"/>
    </row>
    <row r="57" spans="1:22" ht="15.75" x14ac:dyDescent="0.25">
      <c r="A57" s="62"/>
      <c r="B57" s="13" t="s">
        <v>59</v>
      </c>
      <c r="C57" s="63"/>
      <c r="D57" s="4">
        <v>1</v>
      </c>
      <c r="E57" s="4">
        <v>0</v>
      </c>
      <c r="F57" s="29">
        <f t="shared" si="0"/>
        <v>0</v>
      </c>
      <c r="G57" s="4">
        <v>1254600</v>
      </c>
      <c r="H57" s="29">
        <f t="shared" si="1"/>
        <v>0.82328553346888</v>
      </c>
      <c r="I57" s="29">
        <v>795486</v>
      </c>
      <c r="J57" s="29">
        <f t="shared" si="2"/>
        <v>0.81545853666337409</v>
      </c>
      <c r="K57" s="4">
        <v>0</v>
      </c>
      <c r="L57" s="29">
        <f t="shared" si="3"/>
        <v>0</v>
      </c>
      <c r="M57" s="33">
        <v>274875.38</v>
      </c>
      <c r="N57" s="33">
        <f t="shared" si="4"/>
        <v>0.93921173771989408</v>
      </c>
      <c r="P57" s="24"/>
      <c r="Q57" s="24"/>
      <c r="R57" s="24"/>
      <c r="S57" s="24"/>
      <c r="T57" s="31"/>
      <c r="U57" s="32"/>
      <c r="V57" s="32"/>
    </row>
    <row r="58" spans="1:22" ht="15.75" x14ac:dyDescent="0.25">
      <c r="A58" s="62"/>
      <c r="B58" s="13" t="s">
        <v>60</v>
      </c>
      <c r="C58" s="63"/>
      <c r="D58" s="4">
        <v>2</v>
      </c>
      <c r="E58" s="4">
        <v>0</v>
      </c>
      <c r="F58" s="29">
        <f t="shared" si="0"/>
        <v>0</v>
      </c>
      <c r="G58" s="4">
        <v>3980666</v>
      </c>
      <c r="H58" s="29">
        <f t="shared" si="1"/>
        <v>2.6121670104985117</v>
      </c>
      <c r="I58" s="29">
        <v>2540168.2400000002</v>
      </c>
      <c r="J58" s="29">
        <f t="shared" si="2"/>
        <v>2.6039451050919546</v>
      </c>
      <c r="K58" s="4">
        <v>74622</v>
      </c>
      <c r="L58" s="29">
        <f t="shared" si="3"/>
        <v>2.7857542837943781</v>
      </c>
      <c r="M58" s="33">
        <v>850620.5192000001</v>
      </c>
      <c r="N58" s="33">
        <f t="shared" si="4"/>
        <v>2.9064544666678791</v>
      </c>
      <c r="P58" s="24"/>
      <c r="Q58" s="24"/>
      <c r="R58" s="24"/>
      <c r="S58" s="24"/>
      <c r="T58" s="31"/>
      <c r="U58" s="32"/>
      <c r="V58" s="32"/>
    </row>
    <row r="59" spans="1:22" ht="15.75" x14ac:dyDescent="0.25">
      <c r="A59" s="62"/>
      <c r="B59" s="13" t="s">
        <v>61</v>
      </c>
      <c r="C59" s="63"/>
      <c r="D59" s="4">
        <v>1</v>
      </c>
      <c r="E59" s="4">
        <v>0</v>
      </c>
      <c r="F59" s="29">
        <f t="shared" si="0"/>
        <v>0</v>
      </c>
      <c r="G59" s="4">
        <v>950465</v>
      </c>
      <c r="H59" s="29">
        <f t="shared" si="1"/>
        <v>0.62370802213334853</v>
      </c>
      <c r="I59" s="29">
        <v>600839.6</v>
      </c>
      <c r="J59" s="29">
        <f t="shared" si="2"/>
        <v>0.61592508351549491</v>
      </c>
      <c r="K59" s="4">
        <v>1250</v>
      </c>
      <c r="L59" s="29">
        <f t="shared" si="3"/>
        <v>4.6664426774181506E-2</v>
      </c>
      <c r="M59" s="33">
        <v>210642.068</v>
      </c>
      <c r="N59" s="33">
        <f t="shared" si="4"/>
        <v>0.71973525865864041</v>
      </c>
      <c r="P59" s="24"/>
      <c r="Q59" s="24"/>
      <c r="R59" s="24"/>
      <c r="S59" s="24"/>
      <c r="T59" s="31"/>
      <c r="U59" s="32"/>
      <c r="V59" s="32"/>
    </row>
    <row r="60" spans="1:22" ht="15.75" x14ac:dyDescent="0.25">
      <c r="A60" s="62"/>
      <c r="B60" s="13" t="s">
        <v>62</v>
      </c>
      <c r="C60" s="63"/>
      <c r="D60" s="4">
        <v>2</v>
      </c>
      <c r="E60" s="4">
        <v>0</v>
      </c>
      <c r="F60" s="29">
        <f t="shared" si="0"/>
        <v>0</v>
      </c>
      <c r="G60" s="4">
        <v>1986578</v>
      </c>
      <c r="H60" s="29">
        <f t="shared" si="1"/>
        <v>1.3036194233281848</v>
      </c>
      <c r="I60" s="29">
        <v>1263951.92</v>
      </c>
      <c r="J60" s="29">
        <f t="shared" si="2"/>
        <v>1.2956863893218258</v>
      </c>
      <c r="K60" s="4">
        <v>47512</v>
      </c>
      <c r="L60" s="29">
        <f t="shared" si="3"/>
        <v>1.7736961959159294</v>
      </c>
      <c r="M60" s="33">
        <v>429469.1336</v>
      </c>
      <c r="N60" s="33">
        <f t="shared" si="4"/>
        <v>1.4674375393878976</v>
      </c>
      <c r="P60" s="24"/>
      <c r="Q60" s="53"/>
      <c r="R60" s="24"/>
      <c r="S60" s="24"/>
      <c r="T60" s="31"/>
      <c r="U60" s="32"/>
      <c r="V60" s="32"/>
    </row>
    <row r="61" spans="1:22" ht="15.75" x14ac:dyDescent="0.25">
      <c r="A61" s="62"/>
      <c r="B61" s="13" t="s">
        <v>63</v>
      </c>
      <c r="C61" s="63"/>
      <c r="D61" s="4">
        <v>1</v>
      </c>
      <c r="E61" s="4">
        <v>0</v>
      </c>
      <c r="F61" s="29">
        <f t="shared" si="0"/>
        <v>0</v>
      </c>
      <c r="G61" s="4">
        <v>1678050</v>
      </c>
      <c r="H61" s="29">
        <f t="shared" si="1"/>
        <v>1.1011591658197466</v>
      </c>
      <c r="I61" s="29">
        <v>1066494</v>
      </c>
      <c r="J61" s="29">
        <f t="shared" si="2"/>
        <v>1.0932708263882311</v>
      </c>
      <c r="K61" s="4">
        <v>0</v>
      </c>
      <c r="L61" s="29">
        <f t="shared" si="3"/>
        <v>0</v>
      </c>
      <c r="M61" s="33">
        <v>164308.01999999999</v>
      </c>
      <c r="N61" s="33">
        <f t="shared" si="4"/>
        <v>0.56141812695453153</v>
      </c>
      <c r="P61" s="24"/>
      <c r="Q61" s="24"/>
      <c r="R61" s="24"/>
      <c r="S61" s="24"/>
      <c r="T61" s="31"/>
      <c r="U61" s="32"/>
      <c r="V61" s="32"/>
    </row>
    <row r="62" spans="1:22" ht="15.75" x14ac:dyDescent="0.25">
      <c r="A62" s="62"/>
      <c r="B62" s="13" t="s">
        <v>64</v>
      </c>
      <c r="C62" s="63"/>
      <c r="D62" s="4">
        <v>1</v>
      </c>
      <c r="E62" s="4">
        <v>0</v>
      </c>
      <c r="F62" s="29">
        <f t="shared" si="0"/>
        <v>0</v>
      </c>
      <c r="G62" s="4">
        <v>986252</v>
      </c>
      <c r="H62" s="29">
        <f t="shared" si="1"/>
        <v>0.64719193683624254</v>
      </c>
      <c r="I62" s="29">
        <v>639797.28</v>
      </c>
      <c r="J62" s="29">
        <f t="shared" si="2"/>
        <v>0.65586088719349811</v>
      </c>
      <c r="K62" s="4">
        <v>700</v>
      </c>
      <c r="L62" s="29">
        <f t="shared" si="3"/>
        <v>2.6132078993541644E-2</v>
      </c>
      <c r="M62" s="33">
        <v>0</v>
      </c>
      <c r="N62" s="33">
        <f t="shared" si="4"/>
        <v>0</v>
      </c>
      <c r="P62" s="24"/>
      <c r="Q62" s="24"/>
      <c r="R62" s="24"/>
      <c r="S62" s="24"/>
      <c r="T62" s="31"/>
      <c r="U62" s="32"/>
      <c r="V62" s="32"/>
    </row>
    <row r="63" spans="1:22" ht="15.75" x14ac:dyDescent="0.25">
      <c r="A63" s="62"/>
      <c r="B63" s="13" t="s">
        <v>65</v>
      </c>
      <c r="C63" s="63"/>
      <c r="D63" s="4">
        <v>1</v>
      </c>
      <c r="E63" s="4">
        <v>23000</v>
      </c>
      <c r="F63" s="29">
        <f t="shared" si="0"/>
        <v>6.0098509295671594</v>
      </c>
      <c r="G63" s="4">
        <v>1332650</v>
      </c>
      <c r="H63" s="29">
        <f t="shared" si="1"/>
        <v>0.87450300189486918</v>
      </c>
      <c r="I63" s="29">
        <v>861492</v>
      </c>
      <c r="J63" s="29">
        <f t="shared" si="2"/>
        <v>0.88312177168071271</v>
      </c>
      <c r="K63" s="4">
        <v>25128</v>
      </c>
      <c r="L63" s="29">
        <f t="shared" si="3"/>
        <v>0.93806697278530626</v>
      </c>
      <c r="M63" s="33">
        <v>296657.36</v>
      </c>
      <c r="N63" s="33">
        <f t="shared" si="4"/>
        <v>1.0136377968554193</v>
      </c>
      <c r="P63" s="24"/>
      <c r="Q63" s="24"/>
      <c r="R63" s="24"/>
      <c r="S63" s="24"/>
      <c r="T63" s="31"/>
      <c r="U63" s="32"/>
      <c r="V63" s="32"/>
    </row>
    <row r="64" spans="1:22" ht="15.75" x14ac:dyDescent="0.25">
      <c r="A64" s="62"/>
      <c r="B64" s="13" t="s">
        <v>66</v>
      </c>
      <c r="C64" s="63"/>
      <c r="D64" s="4">
        <v>1</v>
      </c>
      <c r="E64" s="4">
        <v>0</v>
      </c>
      <c r="F64" s="29">
        <f t="shared" si="0"/>
        <v>0</v>
      </c>
      <c r="G64" s="4">
        <v>1777363</v>
      </c>
      <c r="H64" s="29">
        <f t="shared" si="1"/>
        <v>1.166329703190538</v>
      </c>
      <c r="I64" s="29">
        <v>1146108.32</v>
      </c>
      <c r="J64" s="29">
        <f t="shared" si="2"/>
        <v>1.1748840501088871</v>
      </c>
      <c r="K64" s="4">
        <v>31236</v>
      </c>
      <c r="L64" s="29">
        <f t="shared" si="3"/>
        <v>1.1660880277746668</v>
      </c>
      <c r="M64" s="33">
        <v>390580.74560000002</v>
      </c>
      <c r="N64" s="33">
        <f t="shared" si="4"/>
        <v>1.3345612138668363</v>
      </c>
      <c r="P64" s="24"/>
      <c r="Q64" s="24"/>
      <c r="R64" s="24"/>
      <c r="S64" s="24"/>
      <c r="T64" s="31"/>
      <c r="U64" s="32"/>
      <c r="V64" s="32"/>
    </row>
    <row r="65" spans="1:22" ht="15.75" x14ac:dyDescent="0.25">
      <c r="A65" s="62"/>
      <c r="B65" s="13" t="s">
        <v>67</v>
      </c>
      <c r="C65" s="63"/>
      <c r="D65" s="4">
        <v>1</v>
      </c>
      <c r="E65" s="4">
        <v>11205</v>
      </c>
      <c r="F65" s="29">
        <f t="shared" si="0"/>
        <v>2.9278425941652184</v>
      </c>
      <c r="G65" s="4">
        <v>1568045</v>
      </c>
      <c r="H65" s="29">
        <f t="shared" si="1"/>
        <v>1.0289723930561214</v>
      </c>
      <c r="I65" s="29">
        <v>1012144.8</v>
      </c>
      <c r="J65" s="29">
        <f t="shared" si="2"/>
        <v>1.037557062600025</v>
      </c>
      <c r="K65" s="4">
        <v>0</v>
      </c>
      <c r="L65" s="29">
        <f t="shared" si="3"/>
        <v>0</v>
      </c>
      <c r="M65" s="33">
        <v>352553.78400000004</v>
      </c>
      <c r="N65" s="33">
        <f t="shared" si="4"/>
        <v>1.2046282650354652</v>
      </c>
      <c r="P65" s="24"/>
      <c r="Q65" s="24"/>
      <c r="R65" s="24"/>
      <c r="S65" s="24"/>
      <c r="T65" s="31"/>
      <c r="U65" s="32"/>
      <c r="V65" s="32"/>
    </row>
    <row r="66" spans="1:22" ht="15.75" x14ac:dyDescent="0.25">
      <c r="A66" s="62"/>
      <c r="B66" s="13" t="s">
        <v>28</v>
      </c>
      <c r="C66" s="63"/>
      <c r="D66" s="4">
        <v>2</v>
      </c>
      <c r="E66" s="4">
        <v>0</v>
      </c>
      <c r="F66" s="29">
        <f t="shared" si="0"/>
        <v>0</v>
      </c>
      <c r="G66" s="4">
        <v>3645125</v>
      </c>
      <c r="H66" s="29">
        <f t="shared" si="1"/>
        <v>2.3919804560702622</v>
      </c>
      <c r="I66" s="29">
        <v>2341476</v>
      </c>
      <c r="J66" s="29">
        <f t="shared" si="2"/>
        <v>2.4002642316676979</v>
      </c>
      <c r="K66" s="4">
        <v>115800</v>
      </c>
      <c r="L66" s="29">
        <f t="shared" si="3"/>
        <v>4.3229924963601745</v>
      </c>
      <c r="M66" s="33">
        <v>791233.08000000007</v>
      </c>
      <c r="N66" s="33">
        <f t="shared" si="4"/>
        <v>2.7035356749966621</v>
      </c>
      <c r="P66" s="24"/>
      <c r="Q66" s="24"/>
      <c r="R66" s="24"/>
      <c r="S66" s="24"/>
      <c r="T66" s="31"/>
      <c r="U66" s="32"/>
      <c r="V66" s="32"/>
    </row>
    <row r="67" spans="1:22" ht="15.75" x14ac:dyDescent="0.25">
      <c r="A67" s="62"/>
      <c r="B67" s="13" t="s">
        <v>68</v>
      </c>
      <c r="C67" s="63"/>
      <c r="D67" s="4">
        <v>1</v>
      </c>
      <c r="E67" s="4">
        <v>0</v>
      </c>
      <c r="F67" s="29">
        <f t="shared" si="0"/>
        <v>0</v>
      </c>
      <c r="G67" s="4">
        <v>1623000</v>
      </c>
      <c r="H67" s="29">
        <f t="shared" si="1"/>
        <v>1.0650346092937926</v>
      </c>
      <c r="I67" s="29">
        <v>1047316</v>
      </c>
      <c r="J67" s="29">
        <f t="shared" si="2"/>
        <v>1.0736113178410911</v>
      </c>
      <c r="K67" s="4">
        <v>32568</v>
      </c>
      <c r="L67" s="29">
        <f t="shared" si="3"/>
        <v>1.2158136409452347</v>
      </c>
      <c r="M67" s="33">
        <v>364160.28</v>
      </c>
      <c r="N67" s="33">
        <f t="shared" si="4"/>
        <v>1.2442860811592629</v>
      </c>
      <c r="P67" s="24"/>
      <c r="Q67" s="24"/>
      <c r="R67" s="24"/>
      <c r="S67" s="24"/>
      <c r="T67" s="31"/>
      <c r="U67" s="32"/>
      <c r="V67" s="32"/>
    </row>
    <row r="68" spans="1:22" ht="15.75" x14ac:dyDescent="0.25">
      <c r="A68" s="62"/>
      <c r="B68" s="13" t="s">
        <v>554</v>
      </c>
      <c r="C68" s="63"/>
      <c r="D68" s="4">
        <v>1</v>
      </c>
      <c r="E68" s="4">
        <v>0</v>
      </c>
      <c r="F68" s="29">
        <f t="shared" si="0"/>
        <v>0</v>
      </c>
      <c r="G68" s="4">
        <v>1308000</v>
      </c>
      <c r="H68" s="29">
        <f t="shared" si="1"/>
        <v>0.85832733761939661</v>
      </c>
      <c r="I68" s="29">
        <v>845716</v>
      </c>
      <c r="J68" s="29">
        <f t="shared" si="2"/>
        <v>0.86694967830081493</v>
      </c>
      <c r="K68" s="4">
        <v>7560</v>
      </c>
      <c r="L68" s="29">
        <f t="shared" si="3"/>
        <v>0.28222645313024974</v>
      </c>
      <c r="M68" s="33">
        <v>29762.28</v>
      </c>
      <c r="N68" s="33">
        <f t="shared" si="4"/>
        <v>0.10169365738505226</v>
      </c>
      <c r="P68" s="24"/>
      <c r="Q68" s="24"/>
      <c r="R68" s="24"/>
      <c r="S68" s="24"/>
      <c r="T68" s="31"/>
      <c r="U68" s="32"/>
      <c r="V68" s="32"/>
    </row>
    <row r="69" spans="1:22" ht="15.75" x14ac:dyDescent="0.25">
      <c r="A69" s="62"/>
      <c r="B69" s="13" t="s">
        <v>69</v>
      </c>
      <c r="C69" s="63"/>
      <c r="D69" s="4">
        <v>1</v>
      </c>
      <c r="E69" s="4">
        <v>14790</v>
      </c>
      <c r="F69" s="29">
        <f t="shared" ref="F69:F87" si="5">E69/3827.05</f>
        <v>3.8645954455781868</v>
      </c>
      <c r="G69" s="4">
        <v>690456</v>
      </c>
      <c r="H69" s="29">
        <f t="shared" ref="H69:H88" si="6">G69/1523894.14</f>
        <v>0.45308659038481508</v>
      </c>
      <c r="I69" s="29">
        <v>450487.84</v>
      </c>
      <c r="J69" s="29">
        <f t="shared" ref="J69:J88" si="7">I69/975507.6</f>
        <v>0.46179839090951219</v>
      </c>
      <c r="K69" s="4">
        <v>0</v>
      </c>
      <c r="L69" s="29">
        <f t="shared" ref="L69:L88" si="8">K69/26787</f>
        <v>0</v>
      </c>
      <c r="M69" s="33">
        <v>0</v>
      </c>
      <c r="N69" s="33">
        <f t="shared" ref="N69:N88" si="9">M69/292666.04</f>
        <v>0</v>
      </c>
      <c r="P69" s="31"/>
      <c r="Q69" s="24"/>
      <c r="R69" s="24"/>
      <c r="S69" s="24"/>
      <c r="T69" s="31"/>
      <c r="U69" s="32"/>
      <c r="V69" s="32"/>
    </row>
    <row r="70" spans="1:22" ht="15.75" x14ac:dyDescent="0.25">
      <c r="A70" s="62"/>
      <c r="B70" s="13" t="s">
        <v>29</v>
      </c>
      <c r="C70" s="63"/>
      <c r="D70" s="4">
        <v>2</v>
      </c>
      <c r="E70" s="4">
        <v>0</v>
      </c>
      <c r="F70" s="29">
        <f t="shared" si="5"/>
        <v>0</v>
      </c>
      <c r="G70" s="4">
        <v>3102356</v>
      </c>
      <c r="H70" s="29">
        <f t="shared" si="6"/>
        <v>2.0358080778498171</v>
      </c>
      <c r="I70" s="29">
        <v>1994103.84</v>
      </c>
      <c r="J70" s="29">
        <f t="shared" si="7"/>
        <v>2.0441704810910752</v>
      </c>
      <c r="K70" s="4">
        <v>156878</v>
      </c>
      <c r="L70" s="29">
        <f t="shared" si="8"/>
        <v>5.8564975547840374</v>
      </c>
      <c r="M70" s="33">
        <v>676600.2672</v>
      </c>
      <c r="N70" s="33">
        <f t="shared" si="9"/>
        <v>2.3118509656945507</v>
      </c>
      <c r="P70" s="24"/>
      <c r="Q70" s="24"/>
      <c r="R70" s="24"/>
      <c r="S70" s="24"/>
      <c r="T70" s="31"/>
      <c r="U70" s="32"/>
      <c r="V70" s="32"/>
    </row>
    <row r="71" spans="1:22" ht="15.75" x14ac:dyDescent="0.25">
      <c r="A71" s="62"/>
      <c r="B71" s="13" t="s">
        <v>35</v>
      </c>
      <c r="C71" s="63"/>
      <c r="D71" s="4">
        <v>1</v>
      </c>
      <c r="E71" s="4">
        <v>4532</v>
      </c>
      <c r="F71" s="29">
        <f t="shared" si="5"/>
        <v>1.1842019309912335</v>
      </c>
      <c r="G71" s="4">
        <v>1456002</v>
      </c>
      <c r="H71" s="29">
        <f t="shared" si="6"/>
        <v>0.9554482570554409</v>
      </c>
      <c r="I71" s="29">
        <v>940437.28</v>
      </c>
      <c r="J71" s="29">
        <f t="shared" si="7"/>
        <v>0.96404915758729104</v>
      </c>
      <c r="K71" s="4">
        <v>32566</v>
      </c>
      <c r="L71" s="29">
        <f t="shared" si="8"/>
        <v>1.2157389778623959</v>
      </c>
      <c r="M71" s="33">
        <v>328890.30240000004</v>
      </c>
      <c r="N71" s="33">
        <f t="shared" si="9"/>
        <v>1.1237733711776059</v>
      </c>
      <c r="P71" s="24"/>
      <c r="Q71" s="24"/>
      <c r="R71" s="24"/>
      <c r="S71" s="24"/>
      <c r="T71" s="31"/>
      <c r="U71" s="32"/>
      <c r="V71" s="32"/>
    </row>
    <row r="72" spans="1:22" ht="15.75" x14ac:dyDescent="0.25">
      <c r="A72" s="62"/>
      <c r="B72" s="13" t="s">
        <v>35</v>
      </c>
      <c r="C72" s="63"/>
      <c r="D72" s="4">
        <v>1</v>
      </c>
      <c r="E72" s="4">
        <v>0</v>
      </c>
      <c r="F72" s="29">
        <f t="shared" si="5"/>
        <v>0</v>
      </c>
      <c r="G72" s="4">
        <v>986523</v>
      </c>
      <c r="H72" s="29">
        <f t="shared" si="6"/>
        <v>0.64736977071123858</v>
      </c>
      <c r="I72" s="29">
        <v>639970.72</v>
      </c>
      <c r="J72" s="29">
        <f t="shared" si="7"/>
        <v>0.65603868181037239</v>
      </c>
      <c r="K72" s="4">
        <v>25466</v>
      </c>
      <c r="L72" s="29">
        <f t="shared" si="8"/>
        <v>0.95068503378504499</v>
      </c>
      <c r="M72" s="33">
        <v>229736.3376</v>
      </c>
      <c r="N72" s="33">
        <f t="shared" si="9"/>
        <v>0.78497777740116348</v>
      </c>
      <c r="P72" s="24"/>
      <c r="Q72" s="24"/>
      <c r="R72" s="24"/>
      <c r="S72" s="24"/>
      <c r="T72" s="31"/>
      <c r="U72" s="32"/>
      <c r="V72" s="32"/>
    </row>
    <row r="73" spans="1:22" ht="15.75" x14ac:dyDescent="0.25">
      <c r="A73" s="62"/>
      <c r="B73" s="13" t="s">
        <v>35</v>
      </c>
      <c r="C73" s="63"/>
      <c r="D73" s="4">
        <v>2</v>
      </c>
      <c r="E73" s="4">
        <v>0</v>
      </c>
      <c r="F73" s="29">
        <f t="shared" si="5"/>
        <v>0</v>
      </c>
      <c r="G73" s="4">
        <v>2678540</v>
      </c>
      <c r="H73" s="29">
        <f t="shared" si="6"/>
        <v>1.7576942713356718</v>
      </c>
      <c r="I73" s="29">
        <v>1722861.6</v>
      </c>
      <c r="J73" s="29">
        <f t="shared" si="7"/>
        <v>1.7661180702231332</v>
      </c>
      <c r="K73" s="4">
        <v>138965</v>
      </c>
      <c r="L73" s="29">
        <f t="shared" si="8"/>
        <v>5.1877776533393067</v>
      </c>
      <c r="M73" s="33">
        <v>587090.3280000001</v>
      </c>
      <c r="N73" s="33">
        <f t="shared" si="9"/>
        <v>2.0060076939572493</v>
      </c>
      <c r="P73" s="24"/>
      <c r="Q73" s="24"/>
      <c r="R73" s="24"/>
      <c r="S73" s="24"/>
      <c r="T73" s="31"/>
      <c r="U73" s="32"/>
      <c r="V73" s="32"/>
    </row>
    <row r="74" spans="1:22" ht="15.75" x14ac:dyDescent="0.25">
      <c r="A74" s="62"/>
      <c r="B74" s="13" t="s">
        <v>22</v>
      </c>
      <c r="C74" s="63"/>
      <c r="D74" s="4">
        <v>1</v>
      </c>
      <c r="E74" s="4">
        <v>13088</v>
      </c>
      <c r="F74" s="29">
        <f t="shared" si="5"/>
        <v>3.4198664767902169</v>
      </c>
      <c r="G74" s="4">
        <v>1546223</v>
      </c>
      <c r="H74" s="29">
        <f t="shared" si="6"/>
        <v>1.0146525007307923</v>
      </c>
      <c r="I74" s="29">
        <v>998178.72</v>
      </c>
      <c r="J74" s="29">
        <f t="shared" si="7"/>
        <v>1.0232403314951108</v>
      </c>
      <c r="K74" s="4">
        <v>68900</v>
      </c>
      <c r="L74" s="29">
        <f t="shared" si="8"/>
        <v>2.5721432037928844</v>
      </c>
      <c r="M74" s="33">
        <v>347944.97759999998</v>
      </c>
      <c r="N74" s="33">
        <f t="shared" si="9"/>
        <v>1.1888806012477566</v>
      </c>
      <c r="P74" s="24"/>
      <c r="Q74" s="24"/>
      <c r="R74" s="24"/>
      <c r="S74" s="24"/>
      <c r="T74" s="31"/>
      <c r="U74" s="32"/>
      <c r="V74" s="32"/>
    </row>
    <row r="75" spans="1:22" ht="15.75" x14ac:dyDescent="0.25">
      <c r="A75" s="62"/>
      <c r="B75" s="13" t="s">
        <v>70</v>
      </c>
      <c r="C75" s="63"/>
      <c r="D75" s="4">
        <v>1</v>
      </c>
      <c r="E75" s="4">
        <v>0</v>
      </c>
      <c r="F75" s="29">
        <f t="shared" si="5"/>
        <v>0</v>
      </c>
      <c r="G75" s="4">
        <v>925645</v>
      </c>
      <c r="H75" s="29">
        <f t="shared" si="6"/>
        <v>0.60742080155252787</v>
      </c>
      <c r="I75" s="29">
        <v>601008.80000000005</v>
      </c>
      <c r="J75" s="29">
        <f t="shared" si="7"/>
        <v>0.61609853167725204</v>
      </c>
      <c r="K75" s="4">
        <v>0</v>
      </c>
      <c r="L75" s="29">
        <f t="shared" si="8"/>
        <v>0</v>
      </c>
      <c r="M75" s="33">
        <v>0</v>
      </c>
      <c r="N75" s="33">
        <f t="shared" si="9"/>
        <v>0</v>
      </c>
      <c r="P75" s="24"/>
      <c r="Q75" s="24"/>
      <c r="R75" s="24"/>
      <c r="S75" s="24"/>
      <c r="T75" s="31"/>
      <c r="U75" s="32"/>
      <c r="V75" s="32"/>
    </row>
    <row r="76" spans="1:22" ht="15.75" x14ac:dyDescent="0.25">
      <c r="A76" s="62"/>
      <c r="B76" s="13" t="s">
        <v>71</v>
      </c>
      <c r="C76" s="63"/>
      <c r="D76" s="4">
        <v>1</v>
      </c>
      <c r="E76" s="4">
        <v>9250</v>
      </c>
      <c r="F76" s="29">
        <f t="shared" si="5"/>
        <v>2.4170052651520098</v>
      </c>
      <c r="G76" s="4">
        <v>1188978</v>
      </c>
      <c r="H76" s="29">
        <f t="shared" si="6"/>
        <v>0.78022348717739676</v>
      </c>
      <c r="I76" s="29">
        <v>762624.92</v>
      </c>
      <c r="J76" s="29">
        <f t="shared" si="7"/>
        <v>0.78177240238825418</v>
      </c>
      <c r="K76" s="4">
        <v>8555</v>
      </c>
      <c r="L76" s="29">
        <f t="shared" si="8"/>
        <v>0.31937133684249824</v>
      </c>
      <c r="M76" s="33">
        <v>270212.22360000003</v>
      </c>
      <c r="N76" s="33">
        <f t="shared" si="9"/>
        <v>0.92327836738420366</v>
      </c>
      <c r="P76" s="24"/>
      <c r="Q76" s="24"/>
      <c r="R76" s="24"/>
      <c r="S76" s="24"/>
      <c r="T76" s="31"/>
      <c r="U76" s="32"/>
      <c r="V76" s="32"/>
    </row>
    <row r="77" spans="1:22" ht="15.75" x14ac:dyDescent="0.25">
      <c r="A77" s="62"/>
      <c r="B77" s="13" t="s">
        <v>72</v>
      </c>
      <c r="C77" s="63"/>
      <c r="D77" s="4">
        <v>1</v>
      </c>
      <c r="E77" s="4">
        <v>0</v>
      </c>
      <c r="F77" s="29">
        <f t="shared" si="5"/>
        <v>0</v>
      </c>
      <c r="G77" s="4">
        <v>1356048</v>
      </c>
      <c r="H77" s="29">
        <f t="shared" si="6"/>
        <v>0.88985708679213116</v>
      </c>
      <c r="I77" s="29">
        <v>869549.72</v>
      </c>
      <c r="J77" s="29">
        <f t="shared" si="7"/>
        <v>0.89138179958823482</v>
      </c>
      <c r="K77" s="4">
        <v>36542</v>
      </c>
      <c r="L77" s="29">
        <f t="shared" si="8"/>
        <v>1.3641691865457124</v>
      </c>
      <c r="M77" s="33">
        <v>305497.40759999998</v>
      </c>
      <c r="N77" s="33">
        <f t="shared" si="9"/>
        <v>1.0438430355636752</v>
      </c>
      <c r="P77" s="24"/>
      <c r="Q77" s="24"/>
      <c r="R77" s="24"/>
      <c r="S77" s="24"/>
      <c r="T77" s="31"/>
      <c r="U77" s="32"/>
      <c r="V77" s="32"/>
    </row>
    <row r="78" spans="1:22" ht="15.75" x14ac:dyDescent="0.25">
      <c r="A78" s="62"/>
      <c r="B78" s="13" t="s">
        <v>73</v>
      </c>
      <c r="C78" s="63"/>
      <c r="D78" s="4">
        <v>1</v>
      </c>
      <c r="E78" s="4">
        <v>0</v>
      </c>
      <c r="F78" s="29">
        <f t="shared" si="5"/>
        <v>0</v>
      </c>
      <c r="G78" s="4">
        <v>998566</v>
      </c>
      <c r="H78" s="29">
        <f t="shared" si="6"/>
        <v>0.65527255062480916</v>
      </c>
      <c r="I78" s="29">
        <v>640761.24</v>
      </c>
      <c r="J78" s="29">
        <f t="shared" si="7"/>
        <v>0.65684904966399027</v>
      </c>
      <c r="K78" s="4">
        <v>3695</v>
      </c>
      <c r="L78" s="29">
        <f t="shared" si="8"/>
        <v>0.13794004554448053</v>
      </c>
      <c r="M78" s="33">
        <v>221326.20920000001</v>
      </c>
      <c r="N78" s="33">
        <f t="shared" si="9"/>
        <v>0.75624151404788897</v>
      </c>
      <c r="P78" s="24"/>
      <c r="Q78" s="24"/>
      <c r="R78" s="24"/>
      <c r="S78" s="24"/>
      <c r="T78" s="31"/>
      <c r="U78" s="32"/>
      <c r="V78" s="32"/>
    </row>
    <row r="79" spans="1:22" ht="15.75" x14ac:dyDescent="0.25">
      <c r="A79" s="62"/>
      <c r="B79" s="13" t="s">
        <v>74</v>
      </c>
      <c r="C79" s="63"/>
      <c r="D79" s="4">
        <v>1</v>
      </c>
      <c r="E79" s="4">
        <v>0</v>
      </c>
      <c r="F79" s="29">
        <f t="shared" si="5"/>
        <v>0</v>
      </c>
      <c r="G79" s="4">
        <v>1850000</v>
      </c>
      <c r="H79" s="29">
        <f t="shared" si="6"/>
        <v>1.213995087611532</v>
      </c>
      <c r="I79" s="29">
        <v>1185679</v>
      </c>
      <c r="J79" s="29">
        <f t="shared" si="7"/>
        <v>1.2154482445856907</v>
      </c>
      <c r="K79" s="4">
        <v>27856</v>
      </c>
      <c r="L79" s="29">
        <f t="shared" si="8"/>
        <v>1.03990741777728</v>
      </c>
      <c r="M79" s="33">
        <v>401149.07</v>
      </c>
      <c r="N79" s="33">
        <f t="shared" si="9"/>
        <v>1.3706717390237693</v>
      </c>
      <c r="P79" s="24"/>
      <c r="Q79" s="24"/>
      <c r="R79" s="24"/>
      <c r="S79" s="24"/>
      <c r="T79" s="31"/>
      <c r="U79" s="32"/>
      <c r="V79" s="32"/>
    </row>
    <row r="80" spans="1:22" ht="15.75" x14ac:dyDescent="0.25">
      <c r="A80" s="62"/>
      <c r="B80" s="13" t="s">
        <v>75</v>
      </c>
      <c r="C80" s="63"/>
      <c r="D80" s="4">
        <v>1</v>
      </c>
      <c r="E80" s="4">
        <v>0</v>
      </c>
      <c r="F80" s="29">
        <f t="shared" si="5"/>
        <v>0</v>
      </c>
      <c r="G80" s="4">
        <v>1690565</v>
      </c>
      <c r="H80" s="29">
        <f t="shared" si="6"/>
        <v>1.1093716785340484</v>
      </c>
      <c r="I80" s="29">
        <v>1083640.6000000001</v>
      </c>
      <c r="J80" s="29">
        <f t="shared" si="7"/>
        <v>1.110847931886948</v>
      </c>
      <c r="K80" s="4">
        <v>19566</v>
      </c>
      <c r="L80" s="29">
        <f t="shared" si="8"/>
        <v>0.73042893941090825</v>
      </c>
      <c r="M80" s="33">
        <v>367476.39800000004</v>
      </c>
      <c r="N80" s="33">
        <f t="shared" si="9"/>
        <v>1.2556168047375775</v>
      </c>
      <c r="P80" s="54"/>
      <c r="Q80" s="24"/>
      <c r="R80" s="24"/>
      <c r="S80" s="24"/>
      <c r="T80" s="31"/>
      <c r="U80" s="32"/>
      <c r="V80" s="32"/>
    </row>
    <row r="81" spans="1:22" ht="15.75" x14ac:dyDescent="0.25">
      <c r="A81" s="62"/>
      <c r="B81" s="13" t="s">
        <v>76</v>
      </c>
      <c r="C81" s="63"/>
      <c r="D81" s="4">
        <v>2</v>
      </c>
      <c r="E81" s="4">
        <v>12889</v>
      </c>
      <c r="F81" s="29">
        <f t="shared" si="5"/>
        <v>3.3678682013561358</v>
      </c>
      <c r="G81" s="4">
        <v>3205468</v>
      </c>
      <c r="H81" s="29">
        <f t="shared" si="6"/>
        <v>2.1034715705383578</v>
      </c>
      <c r="I81" s="29">
        <v>2046928.52</v>
      </c>
      <c r="J81" s="29">
        <f t="shared" si="7"/>
        <v>2.098321448238845</v>
      </c>
      <c r="K81" s="4">
        <v>162344</v>
      </c>
      <c r="L81" s="29">
        <f t="shared" si="8"/>
        <v>6.0605517601821779</v>
      </c>
      <c r="M81" s="33">
        <v>685361.41159999999</v>
      </c>
      <c r="N81" s="33">
        <f t="shared" si="9"/>
        <v>2.3417866029143664</v>
      </c>
      <c r="P81" s="24"/>
      <c r="Q81" s="24"/>
      <c r="R81" s="24"/>
      <c r="S81" s="24"/>
      <c r="T81" s="31"/>
      <c r="U81" s="32"/>
      <c r="V81" s="32"/>
    </row>
    <row r="82" spans="1:22" ht="15.75" x14ac:dyDescent="0.25">
      <c r="A82" s="62"/>
      <c r="B82" s="13" t="s">
        <v>77</v>
      </c>
      <c r="C82" s="63"/>
      <c r="D82" s="4">
        <v>1</v>
      </c>
      <c r="E82" s="4">
        <v>0</v>
      </c>
      <c r="F82" s="29">
        <f t="shared" si="5"/>
        <v>0</v>
      </c>
      <c r="G82" s="4">
        <v>1102555</v>
      </c>
      <c r="H82" s="29">
        <f t="shared" si="6"/>
        <v>0.72351154260623385</v>
      </c>
      <c r="I82" s="29">
        <v>701064.20000000007</v>
      </c>
      <c r="J82" s="29">
        <f t="shared" si="7"/>
        <v>0.7186660565227786</v>
      </c>
      <c r="K82" s="4">
        <v>0</v>
      </c>
      <c r="L82" s="29">
        <f t="shared" si="8"/>
        <v>0</v>
      </c>
      <c r="M82" s="33">
        <v>0</v>
      </c>
      <c r="N82" s="33">
        <f t="shared" si="9"/>
        <v>0</v>
      </c>
      <c r="P82" s="24"/>
      <c r="Q82" s="24"/>
      <c r="R82" s="24"/>
      <c r="S82" s="24"/>
      <c r="T82" s="31"/>
      <c r="U82" s="32"/>
      <c r="V82" s="32"/>
    </row>
    <row r="83" spans="1:22" ht="15.75" x14ac:dyDescent="0.25">
      <c r="A83" s="62"/>
      <c r="B83" s="13" t="s">
        <v>75</v>
      </c>
      <c r="C83" s="63"/>
      <c r="D83" s="4">
        <v>1</v>
      </c>
      <c r="E83" s="4">
        <v>0</v>
      </c>
      <c r="F83" s="29">
        <f t="shared" si="5"/>
        <v>0</v>
      </c>
      <c r="G83" s="4">
        <v>1452352</v>
      </c>
      <c r="H83" s="29">
        <f t="shared" si="6"/>
        <v>0.95305307755826141</v>
      </c>
      <c r="I83" s="29">
        <v>924934.28</v>
      </c>
      <c r="J83" s="29">
        <f t="shared" si="7"/>
        <v>0.94815691851093731</v>
      </c>
      <c r="K83" s="4">
        <v>29875</v>
      </c>
      <c r="L83" s="29">
        <f t="shared" si="8"/>
        <v>1.115279799902938</v>
      </c>
      <c r="M83" s="33">
        <v>315103.3124</v>
      </c>
      <c r="N83" s="33">
        <f t="shared" si="9"/>
        <v>1.0766651040209516</v>
      </c>
      <c r="P83" s="24"/>
      <c r="Q83" s="24"/>
      <c r="R83" s="24"/>
      <c r="S83" s="24"/>
      <c r="T83" s="31"/>
      <c r="U83" s="32"/>
      <c r="V83" s="32"/>
    </row>
    <row r="84" spans="1:22" ht="15.75" x14ac:dyDescent="0.25">
      <c r="A84" s="62"/>
      <c r="B84" s="13" t="s">
        <v>78</v>
      </c>
      <c r="C84" s="63"/>
      <c r="D84" s="4">
        <v>1</v>
      </c>
      <c r="E84" s="4">
        <v>0</v>
      </c>
      <c r="F84" s="29">
        <f t="shared" si="5"/>
        <v>0</v>
      </c>
      <c r="G84" s="4">
        <v>1345000</v>
      </c>
      <c r="H84" s="29">
        <f t="shared" si="6"/>
        <v>0.88260723937162733</v>
      </c>
      <c r="I84" s="29">
        <v>856229</v>
      </c>
      <c r="J84" s="29">
        <f t="shared" si="7"/>
        <v>0.87772663175561116</v>
      </c>
      <c r="K84" s="4">
        <v>17455</v>
      </c>
      <c r="L84" s="29">
        <f t="shared" si="8"/>
        <v>0.65162205547467056</v>
      </c>
      <c r="M84" s="33">
        <v>292430.57</v>
      </c>
      <c r="N84" s="33">
        <f t="shared" si="9"/>
        <v>0.99919543107905529</v>
      </c>
      <c r="P84" s="24"/>
      <c r="Q84" s="24"/>
      <c r="R84" s="24"/>
      <c r="S84" s="24"/>
      <c r="T84" s="31"/>
      <c r="U84" s="32"/>
      <c r="V84" s="32"/>
    </row>
    <row r="85" spans="1:22" ht="15.75" x14ac:dyDescent="0.25">
      <c r="A85" s="62"/>
      <c r="B85" s="13" t="s">
        <v>79</v>
      </c>
      <c r="C85" s="63"/>
      <c r="D85" s="4">
        <v>1</v>
      </c>
      <c r="E85" s="4">
        <v>0</v>
      </c>
      <c r="F85" s="29">
        <f t="shared" si="5"/>
        <v>0</v>
      </c>
      <c r="G85" s="4">
        <v>985623</v>
      </c>
      <c r="H85" s="29">
        <f t="shared" si="6"/>
        <v>0.64677917850645461</v>
      </c>
      <c r="I85" s="29">
        <v>626227.72</v>
      </c>
      <c r="J85" s="29">
        <f t="shared" si="7"/>
        <v>0.64195063165064015</v>
      </c>
      <c r="K85" s="4">
        <v>0</v>
      </c>
      <c r="L85" s="29">
        <f t="shared" si="8"/>
        <v>0</v>
      </c>
      <c r="M85" s="33">
        <v>0</v>
      </c>
      <c r="N85" s="33">
        <f t="shared" si="9"/>
        <v>0</v>
      </c>
      <c r="P85" s="24"/>
      <c r="Q85" s="24"/>
      <c r="R85" s="24"/>
      <c r="S85" s="24"/>
      <c r="T85" s="31"/>
      <c r="U85" s="32"/>
      <c r="V85" s="32"/>
    </row>
    <row r="86" spans="1:22" ht="15.75" x14ac:dyDescent="0.25">
      <c r="A86" s="62"/>
      <c r="B86" s="13" t="s">
        <v>80</v>
      </c>
      <c r="C86" s="63"/>
      <c r="D86" s="4">
        <v>1</v>
      </c>
      <c r="E86" s="4">
        <v>15600</v>
      </c>
      <c r="F86" s="29">
        <f t="shared" si="5"/>
        <v>4.0762467174455521</v>
      </c>
      <c r="G86" s="4">
        <v>2300455</v>
      </c>
      <c r="H86" s="29">
        <f t="shared" si="6"/>
        <v>1.5095897671737226</v>
      </c>
      <c r="I86" s="29">
        <v>1467720.2</v>
      </c>
      <c r="J86" s="29">
        <f t="shared" si="7"/>
        <v>1.5045707486030861</v>
      </c>
      <c r="K86" s="4">
        <v>84655</v>
      </c>
      <c r="L86" s="29">
        <f t="shared" si="8"/>
        <v>3.1603016388546683</v>
      </c>
      <c r="M86" s="33">
        <v>496802.66600000003</v>
      </c>
      <c r="N86" s="33">
        <f t="shared" si="9"/>
        <v>1.6975070493317233</v>
      </c>
      <c r="P86" s="24"/>
      <c r="Q86" s="24"/>
      <c r="R86" s="28"/>
      <c r="S86" s="24"/>
      <c r="T86" s="31"/>
      <c r="U86" s="32"/>
      <c r="V86" s="32"/>
    </row>
    <row r="87" spans="1:22" ht="15.75" x14ac:dyDescent="0.25">
      <c r="A87" s="62"/>
      <c r="B87" s="13" t="s">
        <v>81</v>
      </c>
      <c r="C87" s="63"/>
      <c r="D87" s="4">
        <v>1</v>
      </c>
      <c r="E87" s="4">
        <v>0</v>
      </c>
      <c r="F87" s="29">
        <f t="shared" si="5"/>
        <v>0</v>
      </c>
      <c r="G87" s="4">
        <v>1365000</v>
      </c>
      <c r="H87" s="29">
        <f t="shared" si="6"/>
        <v>0.89573151058904921</v>
      </c>
      <c r="I87" s="29">
        <v>869029</v>
      </c>
      <c r="J87" s="29">
        <f t="shared" si="7"/>
        <v>0.89084800569467626</v>
      </c>
      <c r="K87" s="4">
        <v>24458</v>
      </c>
      <c r="L87" s="29">
        <f t="shared" si="8"/>
        <v>0.91305484003434501</v>
      </c>
      <c r="M87" s="33">
        <v>299234.57</v>
      </c>
      <c r="N87" s="33">
        <f t="shared" si="9"/>
        <v>1.0224437724308568</v>
      </c>
      <c r="O87" s="22"/>
      <c r="P87" s="22"/>
      <c r="Q87" s="24"/>
      <c r="R87" s="24"/>
      <c r="S87" s="24"/>
      <c r="T87" s="31"/>
      <c r="U87" s="32"/>
      <c r="V87" s="32"/>
    </row>
    <row r="88" spans="1:22" ht="15.75" x14ac:dyDescent="0.25">
      <c r="A88" s="62"/>
      <c r="B88" s="13" t="s">
        <v>82</v>
      </c>
      <c r="C88" s="63"/>
      <c r="D88" s="4">
        <v>1</v>
      </c>
      <c r="E88" s="4">
        <v>0</v>
      </c>
      <c r="F88" s="29">
        <f ca="1">F4:F88=E88/3827.05</f>
        <v>0</v>
      </c>
      <c r="G88" s="4">
        <v>1723405</v>
      </c>
      <c r="H88" s="29">
        <f t="shared" si="6"/>
        <v>1.1309217318730553</v>
      </c>
      <c r="I88" s="29">
        <v>1098408.2</v>
      </c>
      <c r="J88" s="29">
        <f t="shared" si="7"/>
        <v>1.1259863070262086</v>
      </c>
      <c r="K88" s="4">
        <v>37899</v>
      </c>
      <c r="L88" s="29">
        <f t="shared" si="8"/>
        <v>1.4148280882517639</v>
      </c>
      <c r="M88" s="33">
        <v>374929.70600000001</v>
      </c>
      <c r="N88" s="33">
        <f t="shared" si="9"/>
        <v>1.2810837430950308</v>
      </c>
      <c r="O88" s="22"/>
      <c r="P88" s="22"/>
      <c r="Q88" s="24"/>
      <c r="R88" s="24"/>
      <c r="S88" s="24"/>
      <c r="T88" s="31"/>
      <c r="U88" s="32"/>
      <c r="V88" s="32"/>
    </row>
    <row r="89" spans="1:22" ht="15.75" x14ac:dyDescent="0.25">
      <c r="A89" s="3"/>
      <c r="B89" s="14"/>
      <c r="C89" s="5"/>
      <c r="D89" s="5">
        <f>SUM(D4:D88)</f>
        <v>111</v>
      </c>
      <c r="E89" s="16">
        <f>SUM(E4:E88)</f>
        <v>382705</v>
      </c>
      <c r="F89" s="17">
        <v>1</v>
      </c>
      <c r="G89" s="16">
        <f>SUM(G4:G88)</f>
        <v>152389414</v>
      </c>
      <c r="H89" s="17">
        <v>1</v>
      </c>
      <c r="I89" s="16">
        <f>SUM(I4:I88)</f>
        <v>97550760.119999975</v>
      </c>
      <c r="J89" s="17">
        <v>1</v>
      </c>
      <c r="K89" s="16">
        <f>SUM(K4:K88)</f>
        <v>2678700</v>
      </c>
      <c r="L89" s="17">
        <v>1</v>
      </c>
      <c r="M89" s="21">
        <f>SUM(M4:M88)</f>
        <v>29266604.377200007</v>
      </c>
      <c r="N89" s="17">
        <v>1</v>
      </c>
      <c r="O89" s="22"/>
      <c r="P89" s="28"/>
      <c r="Q89" s="24"/>
      <c r="R89" s="53"/>
      <c r="S89" s="24"/>
      <c r="T89" s="31"/>
      <c r="U89" s="32"/>
      <c r="V89" s="31"/>
    </row>
    <row r="90" spans="1:22" ht="13.5" customHeight="1" x14ac:dyDescent="0.25">
      <c r="A90" s="68" t="s">
        <v>86</v>
      </c>
      <c r="B90" s="13" t="s">
        <v>87</v>
      </c>
      <c r="C90" s="63" t="s">
        <v>88</v>
      </c>
      <c r="D90" s="4">
        <v>1</v>
      </c>
      <c r="E90" s="4">
        <v>0</v>
      </c>
      <c r="F90" s="29">
        <f>E90/447.21</f>
        <v>0</v>
      </c>
      <c r="G90" s="29">
        <v>2147765.9324999996</v>
      </c>
      <c r="H90" s="29">
        <f>G90/305311.08</f>
        <v>7.034680603468435</v>
      </c>
      <c r="I90" s="29">
        <v>1210840.92</v>
      </c>
      <c r="J90" s="29">
        <f>I90/157029.24</f>
        <v>7.7109264491122795</v>
      </c>
      <c r="K90" s="4">
        <v>49500</v>
      </c>
      <c r="L90" s="29">
        <f>K90/3468.16</f>
        <v>14.272697914744418</v>
      </c>
      <c r="M90" s="33">
        <v>544878.41399999999</v>
      </c>
      <c r="N90" s="33">
        <f>M90/69663.16</f>
        <v>7.8216149540158666</v>
      </c>
      <c r="O90" s="22"/>
      <c r="P90" s="22"/>
      <c r="Q90" s="24"/>
      <c r="R90" s="31"/>
      <c r="S90" s="32"/>
      <c r="T90" s="32"/>
      <c r="U90" s="30"/>
      <c r="V90" s="36"/>
    </row>
    <row r="91" spans="1:22" ht="15.75" customHeight="1" x14ac:dyDescent="0.25">
      <c r="A91" s="68"/>
      <c r="B91" s="13" t="s">
        <v>89</v>
      </c>
      <c r="C91" s="63"/>
      <c r="D91" s="4">
        <v>1</v>
      </c>
      <c r="E91" s="4">
        <v>5085</v>
      </c>
      <c r="F91" s="29">
        <f t="shared" ref="F91:F99" si="10">E91/447.21</f>
        <v>11.370497081907828</v>
      </c>
      <c r="G91" s="29">
        <v>2657152.0499999998</v>
      </c>
      <c r="H91" s="29">
        <f t="shared" ref="H91:H99" si="11">G91/305311.08</f>
        <v>8.7030973458283913</v>
      </c>
      <c r="I91" s="29">
        <v>1324061</v>
      </c>
      <c r="J91" s="29">
        <f t="shared" ref="J91:J99" si="12">I91/157029.24</f>
        <v>8.4319391726025046</v>
      </c>
      <c r="K91" s="4">
        <v>0</v>
      </c>
      <c r="L91" s="29">
        <f t="shared" ref="L91:L99" si="13">K91/3468.16</f>
        <v>0</v>
      </c>
      <c r="M91" s="33">
        <v>595827.45000000007</v>
      </c>
      <c r="N91" s="33">
        <f t="shared" ref="N91:N99" si="14">M91/69663.16</f>
        <v>8.5529776427023982</v>
      </c>
      <c r="P91" s="24"/>
      <c r="Q91" s="24"/>
      <c r="R91" s="31"/>
      <c r="S91" s="32"/>
      <c r="T91" s="32"/>
      <c r="U91" s="30"/>
      <c r="V91" s="24"/>
    </row>
    <row r="92" spans="1:22" ht="15.75" customHeight="1" x14ac:dyDescent="0.25">
      <c r="A92" s="68"/>
      <c r="B92" s="13" t="s">
        <v>90</v>
      </c>
      <c r="C92" s="63"/>
      <c r="D92" s="4">
        <v>3</v>
      </c>
      <c r="E92" s="4">
        <v>11470</v>
      </c>
      <c r="F92" s="29">
        <f t="shared" si="10"/>
        <v>25.647905905503009</v>
      </c>
      <c r="G92" s="29">
        <v>6414657.2429999989</v>
      </c>
      <c r="H92" s="29">
        <f t="shared" si="11"/>
        <v>21.010234030812111</v>
      </c>
      <c r="I92" s="29">
        <v>3330106.84</v>
      </c>
      <c r="J92" s="29">
        <f t="shared" si="12"/>
        <v>21.206921971984325</v>
      </c>
      <c r="K92" s="4">
        <v>90233</v>
      </c>
      <c r="L92" s="29">
        <f t="shared" si="13"/>
        <v>26.017542443255213</v>
      </c>
      <c r="M92" s="33">
        <v>1498548.078</v>
      </c>
      <c r="N92" s="33">
        <f t="shared" si="14"/>
        <v>21.511342264691983</v>
      </c>
      <c r="P92" s="24"/>
      <c r="Q92" s="24"/>
      <c r="R92" s="31"/>
      <c r="S92" s="32"/>
      <c r="T92" s="32"/>
      <c r="U92" s="30"/>
      <c r="V92" s="24"/>
    </row>
    <row r="93" spans="1:22" ht="15.75" customHeight="1" x14ac:dyDescent="0.25">
      <c r="A93" s="68"/>
      <c r="B93" s="13" t="s">
        <v>91</v>
      </c>
      <c r="C93" s="63"/>
      <c r="D93" s="4">
        <v>1</v>
      </c>
      <c r="E93" s="4">
        <v>6566</v>
      </c>
      <c r="F93" s="29">
        <f t="shared" si="10"/>
        <v>14.682140381476264</v>
      </c>
      <c r="G93" s="29">
        <v>2361260.73</v>
      </c>
      <c r="H93" s="29">
        <f t="shared" si="11"/>
        <v>7.7339503368171236</v>
      </c>
      <c r="I93" s="29">
        <v>1271665.98</v>
      </c>
      <c r="J93" s="29">
        <f t="shared" si="12"/>
        <v>8.098275072846306</v>
      </c>
      <c r="K93" s="4">
        <v>56233</v>
      </c>
      <c r="L93" s="29">
        <f t="shared" si="13"/>
        <v>16.214073168481271</v>
      </c>
      <c r="M93" s="33">
        <v>572249.69099999999</v>
      </c>
      <c r="N93" s="33">
        <f t="shared" si="14"/>
        <v>8.2145238745988554</v>
      </c>
      <c r="P93" s="24"/>
      <c r="Q93" s="24"/>
      <c r="R93" s="31"/>
      <c r="S93" s="32"/>
      <c r="T93" s="32"/>
      <c r="U93" s="30"/>
      <c r="V93" s="24"/>
    </row>
    <row r="94" spans="1:22" ht="15.75" customHeight="1" x14ac:dyDescent="0.25">
      <c r="A94" s="68"/>
      <c r="B94" s="13" t="s">
        <v>92</v>
      </c>
      <c r="C94" s="63"/>
      <c r="D94" s="4">
        <v>2</v>
      </c>
      <c r="E94" s="4">
        <v>0</v>
      </c>
      <c r="F94" s="29">
        <f t="shared" si="10"/>
        <v>0</v>
      </c>
      <c r="G94" s="29">
        <v>5026653.2429999989</v>
      </c>
      <c r="H94" s="29">
        <f t="shared" si="11"/>
        <v>16.464038065700066</v>
      </c>
      <c r="I94" s="29">
        <v>2450374.2399999998</v>
      </c>
      <c r="J94" s="29">
        <f t="shared" si="12"/>
        <v>15.604573008186245</v>
      </c>
      <c r="K94" s="4">
        <v>84500</v>
      </c>
      <c r="L94" s="29">
        <f t="shared" si="13"/>
        <v>24.364504521129362</v>
      </c>
      <c r="M94" s="33">
        <v>1102668.4079999998</v>
      </c>
      <c r="N94" s="33">
        <f t="shared" si="14"/>
        <v>15.828572921469537</v>
      </c>
      <c r="P94" s="24"/>
      <c r="Q94" s="24"/>
      <c r="R94" s="31"/>
      <c r="S94" s="32"/>
      <c r="T94" s="32"/>
      <c r="U94" s="30"/>
      <c r="V94" s="24"/>
    </row>
    <row r="95" spans="1:22" ht="15.75" customHeight="1" x14ac:dyDescent="0.25">
      <c r="A95" s="68"/>
      <c r="B95" s="13" t="s">
        <v>23</v>
      </c>
      <c r="C95" s="63"/>
      <c r="D95" s="4">
        <v>1</v>
      </c>
      <c r="E95" s="4">
        <v>0</v>
      </c>
      <c r="F95" s="29">
        <f t="shared" si="10"/>
        <v>0</v>
      </c>
      <c r="G95" s="29">
        <v>2151185.676</v>
      </c>
      <c r="H95" s="29">
        <f t="shared" si="11"/>
        <v>7.0458814531067784</v>
      </c>
      <c r="I95" s="29">
        <v>1063634.1200000001</v>
      </c>
      <c r="J95" s="29">
        <f t="shared" si="12"/>
        <v>6.7734781114651019</v>
      </c>
      <c r="K95" s="4">
        <v>0</v>
      </c>
      <c r="L95" s="29">
        <f t="shared" si="13"/>
        <v>0</v>
      </c>
      <c r="M95" s="33">
        <v>478635.35400000005</v>
      </c>
      <c r="N95" s="33">
        <f t="shared" si="14"/>
        <v>6.8707097696974992</v>
      </c>
      <c r="P95" s="24"/>
      <c r="Q95" s="24"/>
      <c r="R95" s="31"/>
      <c r="S95" s="32"/>
      <c r="T95" s="32"/>
      <c r="U95" s="30"/>
      <c r="V95" s="24"/>
    </row>
    <row r="96" spans="1:22" ht="15.75" customHeight="1" x14ac:dyDescent="0.25">
      <c r="A96" s="68"/>
      <c r="B96" s="13" t="s">
        <v>93</v>
      </c>
      <c r="C96" s="63"/>
      <c r="D96" s="4">
        <v>1</v>
      </c>
      <c r="E96" s="4">
        <v>0</v>
      </c>
      <c r="F96" s="29">
        <f t="shared" si="10"/>
        <v>0</v>
      </c>
      <c r="G96" s="29">
        <v>1227292.2704999999</v>
      </c>
      <c r="H96" s="29">
        <f t="shared" si="11"/>
        <v>4.0198091418758857</v>
      </c>
      <c r="I96" s="29">
        <v>830034.12</v>
      </c>
      <c r="J96" s="29">
        <f t="shared" si="12"/>
        <v>5.2858570798661448</v>
      </c>
      <c r="K96" s="4">
        <v>0</v>
      </c>
      <c r="L96" s="29">
        <f t="shared" si="13"/>
        <v>0</v>
      </c>
      <c r="M96" s="33">
        <v>273515.35399999999</v>
      </c>
      <c r="N96" s="33">
        <f t="shared" si="14"/>
        <v>3.9262553406994454</v>
      </c>
      <c r="P96" s="24"/>
      <c r="Q96" s="24"/>
      <c r="R96" s="31"/>
      <c r="S96" s="32"/>
      <c r="T96" s="32"/>
      <c r="U96" s="30"/>
      <c r="V96" s="24"/>
    </row>
    <row r="97" spans="1:22" ht="15.75" customHeight="1" x14ac:dyDescent="0.25">
      <c r="A97" s="68"/>
      <c r="B97" s="13" t="s">
        <v>94</v>
      </c>
      <c r="C97" s="63"/>
      <c r="D97" s="4">
        <v>1</v>
      </c>
      <c r="E97" s="4">
        <v>8600</v>
      </c>
      <c r="F97" s="29">
        <f t="shared" si="10"/>
        <v>19.230339214239397</v>
      </c>
      <c r="G97" s="29">
        <v>1803649.5809999998</v>
      </c>
      <c r="H97" s="29">
        <f t="shared" si="11"/>
        <v>5.907579839552497</v>
      </c>
      <c r="I97" s="29">
        <v>1095434.3799999999</v>
      </c>
      <c r="J97" s="29">
        <f t="shared" si="12"/>
        <v>6.9759898220229557</v>
      </c>
      <c r="K97" s="4">
        <v>11700</v>
      </c>
      <c r="L97" s="29">
        <f t="shared" si="13"/>
        <v>3.3735467798486809</v>
      </c>
      <c r="M97" s="33">
        <v>492945.47099999996</v>
      </c>
      <c r="N97" s="33">
        <f t="shared" si="14"/>
        <v>7.0761284874243424</v>
      </c>
      <c r="P97" s="24"/>
      <c r="Q97" s="24"/>
      <c r="R97" s="31"/>
      <c r="S97" s="32"/>
      <c r="T97" s="32"/>
      <c r="U97" s="30"/>
      <c r="V97" s="24"/>
    </row>
    <row r="98" spans="1:22" ht="15.75" customHeight="1" x14ac:dyDescent="0.25">
      <c r="A98" s="68"/>
      <c r="B98" s="13" t="s">
        <v>95</v>
      </c>
      <c r="C98" s="63"/>
      <c r="D98" s="4">
        <v>2</v>
      </c>
      <c r="E98" s="4">
        <v>13000</v>
      </c>
      <c r="F98" s="29">
        <f t="shared" si="10"/>
        <v>29.069117416873507</v>
      </c>
      <c r="G98" s="29">
        <v>4379134.783499999</v>
      </c>
      <c r="H98" s="29">
        <f t="shared" si="11"/>
        <v>14.343189849185947</v>
      </c>
      <c r="I98" s="29">
        <v>1858685.88</v>
      </c>
      <c r="J98" s="29">
        <f t="shared" si="12"/>
        <v>11.836559101986357</v>
      </c>
      <c r="K98" s="4">
        <v>54650</v>
      </c>
      <c r="L98" s="29">
        <f t="shared" si="13"/>
        <v>15.757635172541059</v>
      </c>
      <c r="M98" s="37">
        <v>836408.64599999995</v>
      </c>
      <c r="N98" s="33">
        <f t="shared" si="14"/>
        <v>12.006470076867025</v>
      </c>
      <c r="P98" s="24"/>
      <c r="Q98" s="24"/>
      <c r="R98" s="31"/>
      <c r="S98" s="32"/>
      <c r="T98" s="32"/>
      <c r="U98" s="30"/>
      <c r="V98" s="24"/>
    </row>
    <row r="99" spans="1:22" ht="15.75" customHeight="1" x14ac:dyDescent="0.25">
      <c r="A99" s="68"/>
      <c r="B99" s="13" t="s">
        <v>96</v>
      </c>
      <c r="C99" s="63"/>
      <c r="D99" s="4">
        <v>1</v>
      </c>
      <c r="E99" s="4">
        <v>0</v>
      </c>
      <c r="F99" s="29">
        <f t="shared" si="10"/>
        <v>0</v>
      </c>
      <c r="G99" s="29">
        <v>2362356.8639999996</v>
      </c>
      <c r="H99" s="29">
        <f t="shared" si="11"/>
        <v>7.7375405569951781</v>
      </c>
      <c r="I99" s="29">
        <v>1268086.68</v>
      </c>
      <c r="J99" s="29">
        <f t="shared" si="12"/>
        <v>8.0754812288462965</v>
      </c>
      <c r="K99" s="4">
        <v>0</v>
      </c>
      <c r="L99" s="29">
        <f t="shared" si="13"/>
        <v>0</v>
      </c>
      <c r="M99" s="37">
        <v>570639.00599999994</v>
      </c>
      <c r="N99" s="33">
        <f t="shared" si="14"/>
        <v>8.19140283041998</v>
      </c>
      <c r="O99" s="23"/>
      <c r="P99" s="24"/>
      <c r="Q99" s="24"/>
      <c r="R99" s="31"/>
      <c r="S99" s="32"/>
      <c r="T99" s="32"/>
      <c r="U99" s="30"/>
      <c r="V99" s="24"/>
    </row>
    <row r="100" spans="1:22" ht="15.75" customHeight="1" x14ac:dyDescent="0.25">
      <c r="A100" s="6"/>
      <c r="B100" s="14"/>
      <c r="C100" s="7"/>
      <c r="D100" s="5">
        <f>SUM(D90:D99)</f>
        <v>14</v>
      </c>
      <c r="E100" s="16">
        <f>SUM(E90:E99)</f>
        <v>44721</v>
      </c>
      <c r="F100" s="17">
        <v>1</v>
      </c>
      <c r="G100" s="16">
        <f>SUM(G90:G99)</f>
        <v>30531108.373499997</v>
      </c>
      <c r="H100" s="17">
        <v>1</v>
      </c>
      <c r="I100" s="16">
        <f>SUM(I90:I99)</f>
        <v>15702924.16</v>
      </c>
      <c r="J100" s="17">
        <v>1</v>
      </c>
      <c r="K100" s="16">
        <f>SUM(K90:K99)</f>
        <v>346816</v>
      </c>
      <c r="L100" s="17">
        <v>1</v>
      </c>
      <c r="M100" s="38">
        <f>SUM(M90:M99)</f>
        <v>6966315.8719999995</v>
      </c>
      <c r="N100" s="17">
        <v>1</v>
      </c>
      <c r="O100" s="23"/>
      <c r="P100" s="28"/>
      <c r="Q100" s="24"/>
      <c r="R100" s="24"/>
      <c r="S100" s="24"/>
      <c r="T100" s="24"/>
      <c r="U100" s="24"/>
      <c r="V100" s="24"/>
    </row>
    <row r="101" spans="1:22" ht="16.5" customHeight="1" x14ac:dyDescent="0.25">
      <c r="A101" s="62" t="s">
        <v>101</v>
      </c>
      <c r="B101" s="13" t="s">
        <v>108</v>
      </c>
      <c r="C101" s="63" t="s">
        <v>88</v>
      </c>
      <c r="D101" s="4">
        <v>1</v>
      </c>
      <c r="E101" s="4">
        <v>0</v>
      </c>
      <c r="F101" s="29">
        <f>E101/2089.45</f>
        <v>0</v>
      </c>
      <c r="G101" s="4">
        <v>1230000</v>
      </c>
      <c r="H101" s="29">
        <f>G101/366452.41</f>
        <v>3.3565067835138542</v>
      </c>
      <c r="I101" s="4">
        <v>640226</v>
      </c>
      <c r="J101" s="29">
        <f>I101/173684.79</f>
        <v>3.6861373986749211</v>
      </c>
      <c r="K101" s="4">
        <v>45200</v>
      </c>
      <c r="L101" s="29">
        <f>K101/7717.55</f>
        <v>5.856780973236325</v>
      </c>
      <c r="M101" s="37">
        <v>482990.4</v>
      </c>
      <c r="N101" s="37">
        <f>M101/76849.36</f>
        <v>6.2848981435889648</v>
      </c>
      <c r="O101" s="23"/>
      <c r="P101" s="24"/>
      <c r="Q101" s="31"/>
      <c r="R101" s="31"/>
      <c r="S101" s="30"/>
      <c r="T101" s="24"/>
      <c r="U101" s="24"/>
      <c r="V101" s="24"/>
    </row>
    <row r="102" spans="1:22" ht="15.75" x14ac:dyDescent="0.25">
      <c r="A102" s="62"/>
      <c r="B102" s="13" t="s">
        <v>109</v>
      </c>
      <c r="C102" s="63"/>
      <c r="D102" s="4">
        <v>1</v>
      </c>
      <c r="E102" s="4">
        <v>0</v>
      </c>
      <c r="F102" s="29">
        <f t="shared" ref="F102:F125" si="15">E102/2089.45</f>
        <v>0</v>
      </c>
      <c r="G102" s="4">
        <v>956044</v>
      </c>
      <c r="H102" s="29">
        <f t="shared" ref="H102:H125" si="16">G102/366452.41</f>
        <v>2.6089172124696902</v>
      </c>
      <c r="I102" s="4">
        <v>304674</v>
      </c>
      <c r="J102" s="29">
        <f t="shared" ref="J102:J125" si="17">I102/173684.79</f>
        <v>1.7541777837886667</v>
      </c>
      <c r="K102" s="4">
        <v>0</v>
      </c>
      <c r="L102" s="29">
        <f t="shared" ref="L102:L125" si="18">K102/7717.55</f>
        <v>0</v>
      </c>
      <c r="M102" s="33">
        <v>85006</v>
      </c>
      <c r="N102" s="37">
        <f t="shared" ref="N102:N125" si="19">M102/76849.36</f>
        <v>1.1061380342009355</v>
      </c>
      <c r="P102" s="24"/>
      <c r="Q102" s="31"/>
      <c r="R102" s="31"/>
      <c r="S102" s="30"/>
      <c r="T102" s="24"/>
      <c r="U102" s="24"/>
      <c r="V102" s="24"/>
    </row>
    <row r="103" spans="1:22" ht="15.75" x14ac:dyDescent="0.25">
      <c r="A103" s="62"/>
      <c r="B103" s="13" t="s">
        <v>110</v>
      </c>
      <c r="C103" s="63"/>
      <c r="D103" s="4">
        <v>1</v>
      </c>
      <c r="E103" s="4">
        <v>2700</v>
      </c>
      <c r="F103" s="29">
        <f t="shared" si="15"/>
        <v>1.2922060829404869</v>
      </c>
      <c r="G103" s="4">
        <v>1520334</v>
      </c>
      <c r="H103" s="29">
        <f t="shared" si="16"/>
        <v>4.148789743257522</v>
      </c>
      <c r="I103" s="25">
        <v>740577</v>
      </c>
      <c r="J103" s="29">
        <f t="shared" si="17"/>
        <v>4.2639139558507111</v>
      </c>
      <c r="K103" s="4">
        <v>49650</v>
      </c>
      <c r="L103" s="29">
        <f t="shared" si="18"/>
        <v>6.4333888345394588</v>
      </c>
      <c r="M103" s="33">
        <v>527230.80000000005</v>
      </c>
      <c r="N103" s="37">
        <f t="shared" si="19"/>
        <v>6.8605750262591654</v>
      </c>
      <c r="P103" s="24"/>
      <c r="Q103" s="31"/>
      <c r="R103" s="31"/>
      <c r="S103" s="24"/>
      <c r="T103" s="24"/>
    </row>
    <row r="104" spans="1:22" ht="15.75" x14ac:dyDescent="0.25">
      <c r="A104" s="62"/>
      <c r="B104" s="13" t="s">
        <v>111</v>
      </c>
      <c r="C104" s="63"/>
      <c r="D104" s="4">
        <v>1</v>
      </c>
      <c r="E104" s="4">
        <v>13458</v>
      </c>
      <c r="F104" s="29">
        <f t="shared" si="15"/>
        <v>6.4409294311900265</v>
      </c>
      <c r="G104" s="4">
        <v>870336</v>
      </c>
      <c r="H104" s="29">
        <f t="shared" si="16"/>
        <v>2.3750314536067592</v>
      </c>
      <c r="I104" s="4">
        <v>572000</v>
      </c>
      <c r="J104" s="29">
        <f t="shared" si="17"/>
        <v>3.2933223456124163</v>
      </c>
      <c r="K104" s="4">
        <v>41522</v>
      </c>
      <c r="L104" s="29">
        <f t="shared" si="18"/>
        <v>5.3802048577592627</v>
      </c>
      <c r="M104" s="33">
        <v>259800</v>
      </c>
      <c r="N104" s="37">
        <f t="shared" si="19"/>
        <v>3.3806397346705293</v>
      </c>
      <c r="P104" s="24"/>
      <c r="Q104" s="31"/>
      <c r="R104" s="31"/>
      <c r="S104" s="30"/>
      <c r="T104" s="24"/>
    </row>
    <row r="105" spans="1:22" ht="15.75" x14ac:dyDescent="0.25">
      <c r="A105" s="62"/>
      <c r="B105" s="13" t="s">
        <v>112</v>
      </c>
      <c r="C105" s="63"/>
      <c r="D105" s="4">
        <v>1</v>
      </c>
      <c r="E105" s="4">
        <v>0</v>
      </c>
      <c r="F105" s="29">
        <f t="shared" si="15"/>
        <v>0</v>
      </c>
      <c r="G105" s="4">
        <v>1480770</v>
      </c>
      <c r="H105" s="29">
        <f t="shared" si="16"/>
        <v>4.0408248372551299</v>
      </c>
      <c r="I105" s="25">
        <v>730664</v>
      </c>
      <c r="J105" s="29">
        <f t="shared" si="17"/>
        <v>4.2068392977876758</v>
      </c>
      <c r="K105" s="4">
        <v>43210</v>
      </c>
      <c r="L105" s="29">
        <f t="shared" si="18"/>
        <v>5.5989271206535749</v>
      </c>
      <c r="M105" s="33">
        <v>623265.6</v>
      </c>
      <c r="N105" s="37">
        <f t="shared" si="19"/>
        <v>8.1102249908131956</v>
      </c>
      <c r="P105" s="24"/>
      <c r="Q105" s="31"/>
      <c r="R105" s="31"/>
      <c r="S105" s="24"/>
      <c r="T105" s="24"/>
    </row>
    <row r="106" spans="1:22" ht="15.75" x14ac:dyDescent="0.25">
      <c r="A106" s="62"/>
      <c r="B106" s="13" t="s">
        <v>113</v>
      </c>
      <c r="C106" s="63"/>
      <c r="D106" s="4">
        <v>1</v>
      </c>
      <c r="E106" s="4">
        <v>11200</v>
      </c>
      <c r="F106" s="29">
        <f t="shared" si="15"/>
        <v>5.3602622699753528</v>
      </c>
      <c r="G106" s="4">
        <v>1240036</v>
      </c>
      <c r="H106" s="29">
        <f t="shared" si="16"/>
        <v>3.3838936957734842</v>
      </c>
      <c r="I106" s="4">
        <v>650560</v>
      </c>
      <c r="J106" s="29">
        <f t="shared" si="17"/>
        <v>3.7456359880447789</v>
      </c>
      <c r="K106" s="4">
        <v>29144</v>
      </c>
      <c r="L106" s="29">
        <f t="shared" si="18"/>
        <v>3.7763279797345013</v>
      </c>
      <c r="M106" s="33">
        <v>291224</v>
      </c>
      <c r="N106" s="37">
        <f t="shared" si="19"/>
        <v>3.7895435954183614</v>
      </c>
      <c r="P106" s="24"/>
      <c r="Q106" s="31"/>
      <c r="R106" s="31"/>
      <c r="S106" s="30"/>
      <c r="T106" s="24"/>
    </row>
    <row r="107" spans="1:22" ht="15.75" x14ac:dyDescent="0.25">
      <c r="A107" s="62"/>
      <c r="B107" s="13" t="s">
        <v>114</v>
      </c>
      <c r="C107" s="63"/>
      <c r="D107" s="4">
        <v>1</v>
      </c>
      <c r="E107" s="4">
        <v>0</v>
      </c>
      <c r="F107" s="29">
        <f t="shared" si="15"/>
        <v>0</v>
      </c>
      <c r="G107" s="4">
        <v>1650000</v>
      </c>
      <c r="H107" s="29">
        <f t="shared" si="16"/>
        <v>4.5026310510551699</v>
      </c>
      <c r="I107" s="25">
        <v>701010</v>
      </c>
      <c r="J107" s="29">
        <f t="shared" si="17"/>
        <v>4.0361047159051751</v>
      </c>
      <c r="K107" s="4">
        <v>37540</v>
      </c>
      <c r="L107" s="29">
        <f t="shared" si="18"/>
        <v>4.8642380029931775</v>
      </c>
      <c r="M107" s="33">
        <v>311404</v>
      </c>
      <c r="N107" s="37">
        <f t="shared" si="19"/>
        <v>4.0521352422453489</v>
      </c>
      <c r="P107" s="24"/>
      <c r="Q107" s="31"/>
      <c r="R107" s="31"/>
      <c r="S107" s="24"/>
      <c r="T107" s="24"/>
    </row>
    <row r="108" spans="1:22" ht="15.75" x14ac:dyDescent="0.25">
      <c r="A108" s="62"/>
      <c r="B108" s="13" t="s">
        <v>136</v>
      </c>
      <c r="C108" s="63"/>
      <c r="D108" s="4">
        <v>1</v>
      </c>
      <c r="E108" s="4">
        <v>0</v>
      </c>
      <c r="F108" s="29">
        <f t="shared" si="15"/>
        <v>0</v>
      </c>
      <c r="G108" s="4">
        <v>1730250</v>
      </c>
      <c r="H108" s="29">
        <f t="shared" si="16"/>
        <v>4.7216226521746716</v>
      </c>
      <c r="I108" s="25">
        <v>690050</v>
      </c>
      <c r="J108" s="29">
        <f t="shared" si="17"/>
        <v>3.9730018961360978</v>
      </c>
      <c r="K108" s="4">
        <v>40300</v>
      </c>
      <c r="L108" s="29">
        <f t="shared" si="18"/>
        <v>5.2218644518014132</v>
      </c>
      <c r="M108" s="33">
        <v>458368</v>
      </c>
      <c r="N108" s="37">
        <f t="shared" si="19"/>
        <v>5.9644998995437311</v>
      </c>
      <c r="P108" s="24"/>
      <c r="Q108" s="31"/>
      <c r="R108" s="31"/>
      <c r="S108" s="24"/>
      <c r="T108" s="24"/>
    </row>
    <row r="109" spans="1:22" ht="15.75" x14ac:dyDescent="0.25">
      <c r="A109" s="62"/>
      <c r="B109" s="13" t="s">
        <v>116</v>
      </c>
      <c r="C109" s="63"/>
      <c r="D109" s="4">
        <v>1</v>
      </c>
      <c r="E109" s="4">
        <v>0</v>
      </c>
      <c r="F109" s="29">
        <f t="shared" si="15"/>
        <v>0</v>
      </c>
      <c r="G109" s="4">
        <v>1356048</v>
      </c>
      <c r="H109" s="29">
        <f t="shared" si="16"/>
        <v>3.7004750494068248</v>
      </c>
      <c r="I109" s="4">
        <v>601500</v>
      </c>
      <c r="J109" s="29">
        <f t="shared" si="17"/>
        <v>3.4631702637864832</v>
      </c>
      <c r="K109" s="4">
        <v>25010</v>
      </c>
      <c r="L109" s="29">
        <f t="shared" si="18"/>
        <v>3.2406657553239047</v>
      </c>
      <c r="M109" s="33">
        <v>222948</v>
      </c>
      <c r="N109" s="37">
        <f t="shared" si="19"/>
        <v>2.9011041861636842</v>
      </c>
      <c r="P109" s="24"/>
      <c r="Q109" s="31"/>
      <c r="R109" s="31"/>
      <c r="S109" s="30"/>
      <c r="T109" s="24"/>
    </row>
    <row r="110" spans="1:22" ht="15.75" x14ac:dyDescent="0.25">
      <c r="A110" s="62"/>
      <c r="B110" s="13" t="s">
        <v>115</v>
      </c>
      <c r="C110" s="63"/>
      <c r="D110" s="4">
        <v>1</v>
      </c>
      <c r="E110" s="4">
        <v>0</v>
      </c>
      <c r="F110" s="29">
        <f t="shared" si="15"/>
        <v>0</v>
      </c>
      <c r="G110" s="4">
        <v>998566</v>
      </c>
      <c r="H110" s="29">
        <f t="shared" si="16"/>
        <v>2.7249541079563375</v>
      </c>
      <c r="I110" s="25">
        <v>645800</v>
      </c>
      <c r="J110" s="29">
        <f t="shared" si="17"/>
        <v>3.7182300188749973</v>
      </c>
      <c r="K110" s="25">
        <v>0</v>
      </c>
      <c r="L110" s="29">
        <f t="shared" si="18"/>
        <v>0</v>
      </c>
      <c r="M110" s="33">
        <v>56900</v>
      </c>
      <c r="N110" s="37">
        <f t="shared" si="19"/>
        <v>0.74040954927926528</v>
      </c>
      <c r="P110" s="24"/>
      <c r="Q110" s="31"/>
      <c r="R110" s="31"/>
      <c r="S110" s="24"/>
      <c r="T110" s="24"/>
    </row>
    <row r="111" spans="1:22" ht="15.75" x14ac:dyDescent="0.25">
      <c r="A111" s="62"/>
      <c r="B111" s="13" t="s">
        <v>137</v>
      </c>
      <c r="C111" s="63"/>
      <c r="D111" s="4">
        <v>1</v>
      </c>
      <c r="E111" s="25">
        <v>12077</v>
      </c>
      <c r="F111" s="29">
        <f t="shared" si="15"/>
        <v>5.7799899495082441</v>
      </c>
      <c r="G111" s="25">
        <v>1142003</v>
      </c>
      <c r="H111" s="29">
        <f t="shared" si="16"/>
        <v>3.1163746473928224</v>
      </c>
      <c r="I111" s="25">
        <v>620450</v>
      </c>
      <c r="J111" s="29">
        <f t="shared" si="17"/>
        <v>3.5722759603762655</v>
      </c>
      <c r="K111" s="25">
        <v>27600</v>
      </c>
      <c r="L111" s="29">
        <f t="shared" si="18"/>
        <v>3.5762644880823578</v>
      </c>
      <c r="M111" s="33">
        <v>230528</v>
      </c>
      <c r="N111" s="37">
        <f t="shared" si="19"/>
        <v>2.9997387096001842</v>
      </c>
      <c r="P111" s="24"/>
      <c r="Q111" s="31"/>
      <c r="R111" s="31"/>
      <c r="S111" s="24"/>
      <c r="T111" s="24"/>
    </row>
    <row r="112" spans="1:22" ht="15.75" x14ac:dyDescent="0.25">
      <c r="A112" s="62"/>
      <c r="B112" s="13" t="s">
        <v>138</v>
      </c>
      <c r="C112" s="63"/>
      <c r="D112" s="4">
        <v>1</v>
      </c>
      <c r="E112" s="25">
        <v>4562</v>
      </c>
      <c r="F112" s="29">
        <f t="shared" si="15"/>
        <v>2.1833496853238894</v>
      </c>
      <c r="G112" s="25">
        <v>684000</v>
      </c>
      <c r="H112" s="29">
        <f t="shared" si="16"/>
        <v>1.8665452357101433</v>
      </c>
      <c r="I112" s="25">
        <v>0</v>
      </c>
      <c r="J112" s="29">
        <f t="shared" si="17"/>
        <v>0</v>
      </c>
      <c r="K112" s="25">
        <v>0</v>
      </c>
      <c r="L112" s="29">
        <f t="shared" si="18"/>
        <v>0</v>
      </c>
      <c r="M112" s="33">
        <v>0</v>
      </c>
      <c r="N112" s="37">
        <f t="shared" si="19"/>
        <v>0</v>
      </c>
      <c r="P112" s="24"/>
      <c r="Q112" s="24"/>
      <c r="R112" s="31"/>
      <c r="S112" s="24"/>
      <c r="T112" s="24"/>
    </row>
    <row r="113" spans="1:20" ht="15.75" x14ac:dyDescent="0.25">
      <c r="A113" s="62"/>
      <c r="B113" s="13" t="s">
        <v>118</v>
      </c>
      <c r="C113" s="63"/>
      <c r="D113" s="4">
        <v>1</v>
      </c>
      <c r="E113" s="25">
        <v>1279</v>
      </c>
      <c r="F113" s="29">
        <f t="shared" si="15"/>
        <v>0.61212280743736391</v>
      </c>
      <c r="G113" s="25">
        <v>1500788</v>
      </c>
      <c r="H113" s="29">
        <f t="shared" si="16"/>
        <v>4.0954513029399919</v>
      </c>
      <c r="I113" s="25">
        <v>754000</v>
      </c>
      <c r="J113" s="29">
        <f t="shared" si="17"/>
        <v>4.3411976373981851</v>
      </c>
      <c r="K113" s="25">
        <v>41200</v>
      </c>
      <c r="L113" s="29">
        <f t="shared" si="18"/>
        <v>5.3384817720649691</v>
      </c>
      <c r="M113" s="33">
        <v>324800</v>
      </c>
      <c r="N113" s="37">
        <f t="shared" si="19"/>
        <v>4.2264502918436797</v>
      </c>
      <c r="P113" s="24"/>
      <c r="Q113" s="31"/>
      <c r="R113" s="31"/>
      <c r="S113" s="24"/>
      <c r="T113" s="24"/>
    </row>
    <row r="114" spans="1:20" ht="15.75" x14ac:dyDescent="0.25">
      <c r="A114" s="62"/>
      <c r="B114" s="13" t="s">
        <v>117</v>
      </c>
      <c r="C114" s="63"/>
      <c r="D114" s="4">
        <v>1</v>
      </c>
      <c r="E114" s="25">
        <v>0</v>
      </c>
      <c r="F114" s="29">
        <f t="shared" si="15"/>
        <v>0</v>
      </c>
      <c r="G114" s="25">
        <v>1840030</v>
      </c>
      <c r="H114" s="29">
        <f t="shared" si="16"/>
        <v>5.0211977047715424</v>
      </c>
      <c r="I114" s="25">
        <v>821003</v>
      </c>
      <c r="J114" s="29">
        <f t="shared" si="17"/>
        <v>4.7269711988021514</v>
      </c>
      <c r="K114" s="25">
        <v>49650</v>
      </c>
      <c r="L114" s="29">
        <f t="shared" si="18"/>
        <v>6.4333888345394588</v>
      </c>
      <c r="M114" s="33">
        <v>351601.2</v>
      </c>
      <c r="N114" s="37">
        <f t="shared" si="19"/>
        <v>4.5752001057653571</v>
      </c>
      <c r="P114" s="24"/>
      <c r="Q114" s="31"/>
      <c r="R114" s="31"/>
      <c r="S114" s="24"/>
      <c r="T114" s="24"/>
    </row>
    <row r="115" spans="1:20" ht="15.75" x14ac:dyDescent="0.25">
      <c r="A115" s="62"/>
      <c r="B115" s="13" t="s">
        <v>119</v>
      </c>
      <c r="C115" s="63"/>
      <c r="D115" s="4">
        <v>1</v>
      </c>
      <c r="E115" s="25">
        <v>78544</v>
      </c>
      <c r="F115" s="29">
        <f t="shared" si="15"/>
        <v>37.590753547584299</v>
      </c>
      <c r="G115" s="25">
        <v>966500</v>
      </c>
      <c r="H115" s="29">
        <f t="shared" si="16"/>
        <v>2.6374502489968616</v>
      </c>
      <c r="I115" s="25">
        <v>400120</v>
      </c>
      <c r="J115" s="29">
        <f t="shared" si="17"/>
        <v>2.3037135260951751</v>
      </c>
      <c r="K115" s="25">
        <v>0</v>
      </c>
      <c r="L115" s="29">
        <f t="shared" si="18"/>
        <v>0</v>
      </c>
      <c r="M115" s="33">
        <v>183248</v>
      </c>
      <c r="N115" s="37">
        <f t="shared" si="19"/>
        <v>2.384509122782545</v>
      </c>
      <c r="P115" s="24"/>
      <c r="Q115" s="31"/>
      <c r="R115" s="31"/>
      <c r="S115" s="24"/>
      <c r="T115" s="24"/>
    </row>
    <row r="116" spans="1:20" ht="15.75" x14ac:dyDescent="0.25">
      <c r="A116" s="62"/>
      <c r="B116" s="13" t="s">
        <v>120</v>
      </c>
      <c r="C116" s="63"/>
      <c r="D116" s="4">
        <v>1</v>
      </c>
      <c r="E116" s="25">
        <v>0</v>
      </c>
      <c r="F116" s="29">
        <f t="shared" si="15"/>
        <v>0</v>
      </c>
      <c r="G116" s="25">
        <v>1140077</v>
      </c>
      <c r="H116" s="29">
        <f t="shared" si="16"/>
        <v>3.1111188489659547</v>
      </c>
      <c r="I116" s="25">
        <v>590800</v>
      </c>
      <c r="J116" s="29">
        <f t="shared" si="17"/>
        <v>3.4015644087199575</v>
      </c>
      <c r="K116" s="25">
        <v>39500</v>
      </c>
      <c r="L116" s="29">
        <f t="shared" si="18"/>
        <v>5.1182046115671422</v>
      </c>
      <c r="M116" s="33">
        <v>259520</v>
      </c>
      <c r="N116" s="37">
        <f t="shared" si="19"/>
        <v>3.3769962430396299</v>
      </c>
      <c r="P116" s="24"/>
      <c r="Q116" s="31"/>
      <c r="R116" s="31"/>
      <c r="S116" s="24"/>
      <c r="T116" s="24"/>
    </row>
    <row r="117" spans="1:20" ht="15.75" x14ac:dyDescent="0.25">
      <c r="A117" s="62"/>
      <c r="B117" s="13" t="s">
        <v>121</v>
      </c>
      <c r="C117" s="63"/>
      <c r="D117" s="4">
        <v>1</v>
      </c>
      <c r="E117" s="25">
        <v>30025</v>
      </c>
      <c r="F117" s="29">
        <f t="shared" si="15"/>
        <v>14.369810237143747</v>
      </c>
      <c r="G117" s="25">
        <v>1500266</v>
      </c>
      <c r="H117" s="29">
        <f t="shared" si="16"/>
        <v>4.0940268342074759</v>
      </c>
      <c r="I117" s="25">
        <v>735660</v>
      </c>
      <c r="J117" s="29">
        <f t="shared" si="17"/>
        <v>4.2356040503028503</v>
      </c>
      <c r="K117" s="25">
        <v>40330</v>
      </c>
      <c r="L117" s="29">
        <f t="shared" si="18"/>
        <v>5.2257516958101986</v>
      </c>
      <c r="M117" s="33">
        <v>317464</v>
      </c>
      <c r="N117" s="37">
        <f t="shared" si="19"/>
        <v>4.1309908111141072</v>
      </c>
      <c r="P117" s="24"/>
      <c r="Q117" s="31"/>
      <c r="R117" s="31"/>
      <c r="S117" s="24"/>
      <c r="T117" s="24"/>
    </row>
    <row r="118" spans="1:20" ht="15.75" x14ac:dyDescent="0.25">
      <c r="A118" s="62"/>
      <c r="B118" s="13" t="s">
        <v>122</v>
      </c>
      <c r="C118" s="63"/>
      <c r="D118" s="4">
        <v>1</v>
      </c>
      <c r="E118" s="25">
        <v>0</v>
      </c>
      <c r="F118" s="29">
        <f t="shared" si="15"/>
        <v>0</v>
      </c>
      <c r="G118" s="25">
        <v>1498970</v>
      </c>
      <c r="H118" s="29">
        <f t="shared" si="16"/>
        <v>4.0904902221819199</v>
      </c>
      <c r="I118" s="25">
        <v>701455</v>
      </c>
      <c r="J118" s="29">
        <f t="shared" si="17"/>
        <v>4.0386668285691565</v>
      </c>
      <c r="K118" s="25">
        <v>0</v>
      </c>
      <c r="L118" s="29">
        <f t="shared" si="18"/>
        <v>0</v>
      </c>
      <c r="M118" s="33">
        <v>0</v>
      </c>
      <c r="N118" s="37">
        <f t="shared" si="19"/>
        <v>0</v>
      </c>
      <c r="P118" s="24"/>
      <c r="Q118" s="31"/>
      <c r="R118" s="31"/>
      <c r="S118" s="24"/>
      <c r="T118" s="24"/>
    </row>
    <row r="119" spans="1:20" ht="15.75" x14ac:dyDescent="0.25">
      <c r="A119" s="62"/>
      <c r="B119" s="13" t="s">
        <v>123</v>
      </c>
      <c r="C119" s="63"/>
      <c r="D119" s="4">
        <v>1</v>
      </c>
      <c r="E119" s="25">
        <v>0</v>
      </c>
      <c r="F119" s="29">
        <f t="shared" si="15"/>
        <v>0</v>
      </c>
      <c r="G119" s="25">
        <v>1200300</v>
      </c>
      <c r="H119" s="29">
        <f t="shared" si="16"/>
        <v>3.2754594245948612</v>
      </c>
      <c r="I119" s="25">
        <v>610223</v>
      </c>
      <c r="J119" s="29">
        <f t="shared" si="17"/>
        <v>3.5133934295570728</v>
      </c>
      <c r="K119" s="25">
        <v>0</v>
      </c>
      <c r="L119" s="29">
        <f t="shared" si="18"/>
        <v>0</v>
      </c>
      <c r="M119" s="33">
        <v>287739.2</v>
      </c>
      <c r="N119" s="37">
        <f t="shared" si="19"/>
        <v>3.7441977395777921</v>
      </c>
      <c r="P119" s="24"/>
      <c r="Q119" s="31"/>
      <c r="R119" s="31"/>
      <c r="S119" s="24"/>
      <c r="T119" s="24"/>
    </row>
    <row r="120" spans="1:20" ht="15.75" x14ac:dyDescent="0.25">
      <c r="A120" s="62"/>
      <c r="B120" s="13" t="s">
        <v>124</v>
      </c>
      <c r="C120" s="63"/>
      <c r="D120" s="4">
        <v>1</v>
      </c>
      <c r="E120" s="25">
        <v>0</v>
      </c>
      <c r="F120" s="29">
        <f t="shared" si="15"/>
        <v>0</v>
      </c>
      <c r="G120" s="25">
        <v>1450056</v>
      </c>
      <c r="H120" s="29">
        <f t="shared" si="16"/>
        <v>3.9570104068902157</v>
      </c>
      <c r="I120" s="25">
        <v>540660</v>
      </c>
      <c r="J120" s="29">
        <f t="shared" si="17"/>
        <v>3.1128805233895265</v>
      </c>
      <c r="K120" s="25">
        <v>0</v>
      </c>
      <c r="L120" s="29">
        <f t="shared" si="18"/>
        <v>0</v>
      </c>
      <c r="M120" s="33">
        <v>90000</v>
      </c>
      <c r="N120" s="37">
        <f t="shared" si="19"/>
        <v>1.171122309932054</v>
      </c>
      <c r="P120" s="24"/>
      <c r="Q120" s="31"/>
      <c r="R120" s="31"/>
      <c r="S120" s="24"/>
      <c r="T120" s="24"/>
    </row>
    <row r="121" spans="1:20" ht="15.75" x14ac:dyDescent="0.25">
      <c r="A121" s="62"/>
      <c r="B121" s="13" t="s">
        <v>97</v>
      </c>
      <c r="C121" s="63"/>
      <c r="D121" s="4">
        <v>2</v>
      </c>
      <c r="E121" s="25">
        <v>19800</v>
      </c>
      <c r="F121" s="29">
        <f t="shared" si="15"/>
        <v>9.4761779415635701</v>
      </c>
      <c r="G121" s="25">
        <v>3700488</v>
      </c>
      <c r="H121" s="29">
        <f t="shared" si="16"/>
        <v>10.098140710822451</v>
      </c>
      <c r="I121" s="25">
        <v>1800650</v>
      </c>
      <c r="J121" s="29">
        <f t="shared" si="17"/>
        <v>10.367344198648597</v>
      </c>
      <c r="K121" s="25">
        <v>95400</v>
      </c>
      <c r="L121" s="29">
        <f t="shared" si="18"/>
        <v>12.361435947936846</v>
      </c>
      <c r="M121" s="33">
        <v>763910</v>
      </c>
      <c r="N121" s="37">
        <f t="shared" si="19"/>
        <v>9.9403560420021719</v>
      </c>
      <c r="P121" s="24"/>
      <c r="Q121" s="31"/>
      <c r="R121" s="31"/>
      <c r="S121" s="24"/>
      <c r="T121" s="24"/>
    </row>
    <row r="122" spans="1:20" ht="15.75" x14ac:dyDescent="0.25">
      <c r="A122" s="62"/>
      <c r="B122" s="13" t="s">
        <v>98</v>
      </c>
      <c r="C122" s="63"/>
      <c r="D122" s="4">
        <v>1</v>
      </c>
      <c r="E122" s="25">
        <v>0</v>
      </c>
      <c r="F122" s="29">
        <f t="shared" si="15"/>
        <v>0</v>
      </c>
      <c r="G122" s="25">
        <v>1107789</v>
      </c>
      <c r="H122" s="29">
        <f t="shared" si="16"/>
        <v>3.0230091814650639</v>
      </c>
      <c r="I122" s="25">
        <v>510300</v>
      </c>
      <c r="J122" s="29">
        <f t="shared" si="17"/>
        <v>2.9380811065839443</v>
      </c>
      <c r="K122" s="25">
        <v>0</v>
      </c>
      <c r="L122" s="29">
        <f t="shared" si="18"/>
        <v>0</v>
      </c>
      <c r="M122" s="33">
        <v>23600</v>
      </c>
      <c r="N122" s="37">
        <f t="shared" si="19"/>
        <v>0.30709429460440529</v>
      </c>
      <c r="P122" s="24"/>
      <c r="Q122" s="31"/>
      <c r="R122" s="31"/>
      <c r="S122" s="24"/>
      <c r="T122" s="24"/>
    </row>
    <row r="123" spans="1:20" ht="15.75" x14ac:dyDescent="0.25">
      <c r="A123" s="62"/>
      <c r="B123" s="13" t="s">
        <v>99</v>
      </c>
      <c r="C123" s="63"/>
      <c r="D123" s="4">
        <v>1</v>
      </c>
      <c r="E123" s="25">
        <v>23000</v>
      </c>
      <c r="F123" s="29">
        <f t="shared" si="15"/>
        <v>11.007681447270814</v>
      </c>
      <c r="G123" s="25">
        <v>1752660</v>
      </c>
      <c r="H123" s="29">
        <f t="shared" si="16"/>
        <v>4.7827765684499122</v>
      </c>
      <c r="I123" s="25">
        <v>761000</v>
      </c>
      <c r="J123" s="29">
        <f t="shared" si="17"/>
        <v>4.3815005332360997</v>
      </c>
      <c r="K123" s="25">
        <v>36300</v>
      </c>
      <c r="L123" s="29">
        <f t="shared" si="18"/>
        <v>4.7035652506300574</v>
      </c>
      <c r="M123" s="33">
        <v>348050</v>
      </c>
      <c r="N123" s="37">
        <f t="shared" si="19"/>
        <v>4.52899022190946</v>
      </c>
      <c r="P123" s="24"/>
      <c r="Q123" s="31"/>
      <c r="R123" s="31"/>
      <c r="S123" s="24"/>
      <c r="T123" s="24"/>
    </row>
    <row r="124" spans="1:20" ht="15.75" x14ac:dyDescent="0.25">
      <c r="A124" s="62"/>
      <c r="B124" s="13" t="s">
        <v>100</v>
      </c>
      <c r="C124" s="63"/>
      <c r="D124" s="4">
        <v>1</v>
      </c>
      <c r="E124" s="25">
        <v>0</v>
      </c>
      <c r="F124" s="29">
        <f t="shared" si="15"/>
        <v>0</v>
      </c>
      <c r="G124" s="25">
        <v>1325600</v>
      </c>
      <c r="H124" s="29">
        <f t="shared" si="16"/>
        <v>3.617386497744687</v>
      </c>
      <c r="I124" s="25">
        <v>600090</v>
      </c>
      <c r="J124" s="29">
        <f t="shared" si="17"/>
        <v>3.4550521090534176</v>
      </c>
      <c r="K124" s="25">
        <v>29877</v>
      </c>
      <c r="L124" s="29">
        <f t="shared" si="18"/>
        <v>3.8713063083491521</v>
      </c>
      <c r="M124" s="33">
        <v>283686</v>
      </c>
      <c r="N124" s="37">
        <f t="shared" si="19"/>
        <v>3.6914555957264965</v>
      </c>
      <c r="P124" s="24"/>
      <c r="Q124" s="31"/>
      <c r="R124" s="31"/>
      <c r="S124" s="24"/>
      <c r="T124" s="24"/>
    </row>
    <row r="125" spans="1:20" ht="15.75" x14ac:dyDescent="0.25">
      <c r="A125" s="62"/>
      <c r="B125" s="13" t="s">
        <v>139</v>
      </c>
      <c r="C125" s="63"/>
      <c r="D125" s="4">
        <v>2</v>
      </c>
      <c r="E125" s="25">
        <v>12300</v>
      </c>
      <c r="F125" s="29">
        <f t="shared" si="15"/>
        <v>5.8867166000622175</v>
      </c>
      <c r="G125" s="25">
        <v>2803330</v>
      </c>
      <c r="H125" s="29">
        <f t="shared" si="16"/>
        <v>7.6499155783966604</v>
      </c>
      <c r="I125" s="25">
        <v>1645007</v>
      </c>
      <c r="J125" s="29">
        <f t="shared" si="17"/>
        <v>9.4712208248056715</v>
      </c>
      <c r="K125" s="25">
        <v>100322</v>
      </c>
      <c r="L125" s="29">
        <f t="shared" si="18"/>
        <v>12.999203114978199</v>
      </c>
      <c r="M125" s="33">
        <v>901652.8</v>
      </c>
      <c r="N125" s="37">
        <f t="shared" si="19"/>
        <v>11.732730109918938</v>
      </c>
      <c r="P125" s="24"/>
      <c r="Q125" s="31"/>
      <c r="R125" s="31"/>
      <c r="S125" s="24"/>
      <c r="T125" s="24"/>
    </row>
    <row r="126" spans="1:20" ht="15.75" x14ac:dyDescent="0.25">
      <c r="A126" s="3"/>
      <c r="B126" s="14"/>
      <c r="C126" s="3"/>
      <c r="D126" s="5">
        <f>SUM(D101:D125)</f>
        <v>27</v>
      </c>
      <c r="E126" s="21">
        <f>SUM(E101:E125)</f>
        <v>208945</v>
      </c>
      <c r="F126" s="17">
        <v>1</v>
      </c>
      <c r="G126" s="21">
        <f>SUM(G101:G125)</f>
        <v>36645241</v>
      </c>
      <c r="H126" s="17">
        <v>1</v>
      </c>
      <c r="I126" s="21">
        <f>SUM(I101:I125)</f>
        <v>17368479</v>
      </c>
      <c r="J126" s="17">
        <v>1</v>
      </c>
      <c r="K126" s="21">
        <f>SUM(K101:K125)</f>
        <v>771755</v>
      </c>
      <c r="L126" s="17">
        <v>1</v>
      </c>
      <c r="M126" s="21">
        <f>SUM(M101:M125)</f>
        <v>7684936</v>
      </c>
      <c r="N126" s="17">
        <v>1</v>
      </c>
      <c r="P126" s="28"/>
      <c r="Q126" s="31"/>
      <c r="R126" s="31"/>
      <c r="S126" s="24"/>
      <c r="T126" s="24"/>
    </row>
    <row r="127" spans="1:20" ht="15.75" x14ac:dyDescent="0.25">
      <c r="A127" s="62" t="s">
        <v>107</v>
      </c>
      <c r="B127" s="13" t="s">
        <v>102</v>
      </c>
      <c r="C127" s="63" t="s">
        <v>88</v>
      </c>
      <c r="D127" s="4">
        <v>1</v>
      </c>
      <c r="E127" s="25">
        <v>13610</v>
      </c>
      <c r="F127" s="33">
        <f>E127/530.8</f>
        <v>25.640542577241902</v>
      </c>
      <c r="G127" s="33">
        <v>1200288</v>
      </c>
      <c r="H127" s="33">
        <f>G127/79225.87</f>
        <v>15.150202831474115</v>
      </c>
      <c r="I127" s="25">
        <v>560447</v>
      </c>
      <c r="J127" s="33">
        <f>I127/45814.1</f>
        <v>12.233067985620147</v>
      </c>
      <c r="K127" s="25">
        <v>2300</v>
      </c>
      <c r="L127" s="33">
        <f>K127/1249.77</f>
        <v>1.8403386223065044</v>
      </c>
      <c r="M127" s="33">
        <v>161461.75</v>
      </c>
      <c r="N127" s="33">
        <f>M127/12961.52</f>
        <v>12.457007357161814</v>
      </c>
      <c r="P127" s="24"/>
      <c r="Q127" s="31"/>
      <c r="R127" s="31"/>
      <c r="S127" s="24"/>
      <c r="T127" s="24"/>
    </row>
    <row r="128" spans="1:20" ht="15.75" x14ac:dyDescent="0.25">
      <c r="A128" s="62"/>
      <c r="B128" s="13" t="s">
        <v>103</v>
      </c>
      <c r="C128" s="63"/>
      <c r="D128" s="4">
        <v>1</v>
      </c>
      <c r="E128" s="25">
        <v>0</v>
      </c>
      <c r="F128" s="33">
        <f t="shared" ref="F128:F131" si="20">E128/530.8</f>
        <v>0</v>
      </c>
      <c r="G128" s="33">
        <v>1440780</v>
      </c>
      <c r="H128" s="33">
        <f t="shared" ref="H128:H131" si="21">G128/79225.87</f>
        <v>18.185726455260134</v>
      </c>
      <c r="I128" s="25">
        <v>750664</v>
      </c>
      <c r="J128" s="33">
        <f t="shared" ref="J128:J131" si="22">I128/45814.1</f>
        <v>16.384999377920771</v>
      </c>
      <c r="K128" s="25">
        <v>24500</v>
      </c>
      <c r="L128" s="33">
        <f t="shared" ref="L128:L131" si="23">K128/1249.77</f>
        <v>19.60360706369972</v>
      </c>
      <c r="M128" s="33">
        <v>209016</v>
      </c>
      <c r="N128" s="33">
        <f t="shared" ref="N128:N131" si="24">M128/12961.52</f>
        <v>16.125886470105357</v>
      </c>
      <c r="P128" s="24"/>
      <c r="Q128" s="31"/>
      <c r="R128" s="31"/>
      <c r="S128" s="24"/>
      <c r="T128" s="24"/>
    </row>
    <row r="129" spans="1:20" ht="15.75" x14ac:dyDescent="0.25">
      <c r="A129" s="62"/>
      <c r="B129" s="13" t="s">
        <v>104</v>
      </c>
      <c r="C129" s="63"/>
      <c r="D129" s="4">
        <v>2</v>
      </c>
      <c r="E129" s="25">
        <v>22450</v>
      </c>
      <c r="F129" s="33">
        <f t="shared" si="20"/>
        <v>42.294649585531275</v>
      </c>
      <c r="G129" s="33">
        <v>2800512</v>
      </c>
      <c r="H129" s="33">
        <f t="shared" si="21"/>
        <v>35.34845373108557</v>
      </c>
      <c r="I129" s="25">
        <v>1750066</v>
      </c>
      <c r="J129" s="33">
        <f t="shared" si="22"/>
        <v>38.199287992124695</v>
      </c>
      <c r="K129" s="25">
        <v>52100</v>
      </c>
      <c r="L129" s="33">
        <f t="shared" si="23"/>
        <v>41.687670531377776</v>
      </c>
      <c r="M129" s="33">
        <v>473549.5</v>
      </c>
      <c r="N129" s="33">
        <f t="shared" si="24"/>
        <v>36.535028299150099</v>
      </c>
      <c r="P129" s="24"/>
      <c r="Q129" s="31"/>
      <c r="R129" s="31"/>
      <c r="S129" s="24"/>
      <c r="T129" s="24"/>
    </row>
    <row r="130" spans="1:20" ht="15.75" x14ac:dyDescent="0.25">
      <c r="A130" s="62"/>
      <c r="B130" s="13" t="s">
        <v>105</v>
      </c>
      <c r="C130" s="63"/>
      <c r="D130" s="4">
        <v>1</v>
      </c>
      <c r="E130" s="25">
        <v>0</v>
      </c>
      <c r="F130" s="33">
        <f t="shared" si="20"/>
        <v>0</v>
      </c>
      <c r="G130" s="33">
        <v>1118403.2</v>
      </c>
      <c r="H130" s="33">
        <f t="shared" si="21"/>
        <v>14.116641445527831</v>
      </c>
      <c r="I130" s="25">
        <v>710233</v>
      </c>
      <c r="J130" s="33">
        <f t="shared" si="22"/>
        <v>15.502498139219149</v>
      </c>
      <c r="K130" s="25">
        <v>19600</v>
      </c>
      <c r="L130" s="33">
        <f t="shared" si="23"/>
        <v>15.682885650959777</v>
      </c>
      <c r="M130" s="33">
        <v>213591.25</v>
      </c>
      <c r="N130" s="33">
        <f t="shared" si="24"/>
        <v>16.478873619760645</v>
      </c>
      <c r="P130" s="24"/>
      <c r="Q130" s="31"/>
      <c r="R130" s="31"/>
      <c r="S130" s="24"/>
      <c r="T130" s="24"/>
    </row>
    <row r="131" spans="1:20" ht="15.75" x14ac:dyDescent="0.25">
      <c r="A131" s="62"/>
      <c r="B131" s="13" t="s">
        <v>106</v>
      </c>
      <c r="C131" s="63"/>
      <c r="D131" s="4">
        <v>1</v>
      </c>
      <c r="E131" s="25">
        <v>17020</v>
      </c>
      <c r="F131" s="33">
        <f t="shared" si="20"/>
        <v>32.06480783722683</v>
      </c>
      <c r="G131" s="33">
        <v>1362604</v>
      </c>
      <c r="H131" s="33">
        <f t="shared" si="21"/>
        <v>17.198978061080304</v>
      </c>
      <c r="I131" s="25">
        <v>810000</v>
      </c>
      <c r="J131" s="33">
        <f t="shared" si="22"/>
        <v>17.680146505115239</v>
      </c>
      <c r="K131" s="25">
        <v>26477</v>
      </c>
      <c r="L131" s="33">
        <f t="shared" si="23"/>
        <v>21.185498131656225</v>
      </c>
      <c r="M131" s="33">
        <v>238533</v>
      </c>
      <c r="N131" s="33">
        <f t="shared" si="24"/>
        <v>18.40316567809948</v>
      </c>
      <c r="P131" s="24"/>
      <c r="Q131" s="31"/>
      <c r="R131" s="31"/>
      <c r="S131" s="24"/>
      <c r="T131" s="24"/>
    </row>
    <row r="132" spans="1:20" ht="15.75" x14ac:dyDescent="0.25">
      <c r="A132" s="3"/>
      <c r="B132" s="14"/>
      <c r="C132" s="3"/>
      <c r="D132" s="5">
        <f>SUM(D127:D131)</f>
        <v>6</v>
      </c>
      <c r="E132" s="21">
        <f>SUM(E127:E131)</f>
        <v>53080</v>
      </c>
      <c r="F132" s="17">
        <v>1</v>
      </c>
      <c r="G132" s="21">
        <f>SUM(G127:G131)</f>
        <v>7922587.2000000002</v>
      </c>
      <c r="H132" s="17">
        <v>1</v>
      </c>
      <c r="I132" s="21">
        <f>SUM(I127:I131)</f>
        <v>4581410</v>
      </c>
      <c r="J132" s="17">
        <v>1</v>
      </c>
      <c r="K132" s="21">
        <f>SUM(K127:K131)</f>
        <v>124977</v>
      </c>
      <c r="L132" s="17">
        <v>1</v>
      </c>
      <c r="M132" s="21">
        <f>SUM(M127:M131)</f>
        <v>1296151.5</v>
      </c>
      <c r="N132" s="17">
        <v>1</v>
      </c>
      <c r="P132" s="28"/>
      <c r="Q132" s="24"/>
      <c r="R132" s="24"/>
      <c r="S132" s="24"/>
      <c r="T132" s="24"/>
    </row>
    <row r="133" spans="1:20" ht="15" customHeight="1" x14ac:dyDescent="0.25">
      <c r="A133" s="62" t="s">
        <v>148</v>
      </c>
      <c r="B133" s="13" t="s">
        <v>125</v>
      </c>
      <c r="C133" s="63" t="s">
        <v>88</v>
      </c>
      <c r="D133" s="4">
        <v>1</v>
      </c>
      <c r="E133" s="25">
        <v>0</v>
      </c>
      <c r="F133" s="33">
        <f>E133/745.42</f>
        <v>0</v>
      </c>
      <c r="G133" s="29">
        <v>518100</v>
      </c>
      <c r="H133" s="33">
        <f>G133/105061.15</f>
        <v>4.9314137528477469</v>
      </c>
      <c r="I133" s="33">
        <v>299880</v>
      </c>
      <c r="J133" s="33">
        <f>I133/64493.25</f>
        <v>4.6497889313997973</v>
      </c>
      <c r="K133" s="25">
        <v>0</v>
      </c>
      <c r="L133" s="33">
        <f>K133/2198.5</f>
        <v>0</v>
      </c>
      <c r="M133" s="33">
        <v>29640</v>
      </c>
      <c r="N133" s="33">
        <f>M133/17419.74</f>
        <v>1.7015179331034791</v>
      </c>
      <c r="P133" s="24"/>
      <c r="Q133" s="31"/>
      <c r="R133" s="31"/>
      <c r="S133" s="31"/>
    </row>
    <row r="134" spans="1:20" ht="15" customHeight="1" x14ac:dyDescent="0.25">
      <c r="A134" s="62"/>
      <c r="B134" s="13" t="s">
        <v>126</v>
      </c>
      <c r="C134" s="63"/>
      <c r="D134" s="4">
        <v>1</v>
      </c>
      <c r="E134" s="25">
        <v>0</v>
      </c>
      <c r="F134" s="33">
        <f t="shared" ref="F134:F150" si="25">E134/745.42</f>
        <v>0</v>
      </c>
      <c r="G134" s="29">
        <v>655380</v>
      </c>
      <c r="H134" s="33">
        <f t="shared" ref="H134:H150" si="26">G134/105061.15</f>
        <v>6.2380813459589968</v>
      </c>
      <c r="I134" s="33">
        <v>386366.4</v>
      </c>
      <c r="J134" s="33">
        <f t="shared" ref="J134:J150" si="27">I134/64493.25</f>
        <v>5.9908036887581266</v>
      </c>
      <c r="K134" s="25">
        <v>27300</v>
      </c>
      <c r="L134" s="33">
        <f t="shared" ref="L134:L150" si="28">K134/2198.5</f>
        <v>12.417557425517398</v>
      </c>
      <c r="M134" s="33">
        <v>115909</v>
      </c>
      <c r="N134" s="33">
        <f t="shared" ref="N134:N150" si="29">M134/17419.74</f>
        <v>6.6538880603269615</v>
      </c>
      <c r="P134" s="24"/>
      <c r="Q134" s="31"/>
      <c r="R134" s="31"/>
      <c r="S134" s="31"/>
    </row>
    <row r="135" spans="1:20" ht="15" customHeight="1" x14ac:dyDescent="0.25">
      <c r="A135" s="62"/>
      <c r="B135" s="13" t="s">
        <v>127</v>
      </c>
      <c r="C135" s="63"/>
      <c r="D135" s="4">
        <v>3</v>
      </c>
      <c r="E135" s="25">
        <v>16020</v>
      </c>
      <c r="F135" s="33">
        <f t="shared" si="25"/>
        <v>21.491239837943709</v>
      </c>
      <c r="G135" s="29">
        <v>2219329.37</v>
      </c>
      <c r="H135" s="33">
        <f t="shared" si="26"/>
        <v>21.124167877469457</v>
      </c>
      <c r="I135" s="33">
        <v>1211654</v>
      </c>
      <c r="J135" s="33">
        <f t="shared" si="27"/>
        <v>18.787299446066061</v>
      </c>
      <c r="K135" s="25">
        <v>69600</v>
      </c>
      <c r="L135" s="33">
        <f t="shared" si="28"/>
        <v>31.657948601319081</v>
      </c>
      <c r="M135" s="33">
        <v>393496.2</v>
      </c>
      <c r="N135" s="33">
        <f t="shared" si="29"/>
        <v>22.58909719662865</v>
      </c>
      <c r="P135" s="24"/>
      <c r="Q135" s="31"/>
      <c r="R135" s="31"/>
      <c r="S135" s="31"/>
    </row>
    <row r="136" spans="1:20" ht="15" customHeight="1" x14ac:dyDescent="0.25">
      <c r="A136" s="62"/>
      <c r="B136" s="13" t="s">
        <v>128</v>
      </c>
      <c r="C136" s="63"/>
      <c r="D136" s="4">
        <v>1</v>
      </c>
      <c r="E136" s="4">
        <v>6500</v>
      </c>
      <c r="F136" s="33">
        <f t="shared" si="25"/>
        <v>8.7199162888036277</v>
      </c>
      <c r="G136" s="29">
        <v>475282.5</v>
      </c>
      <c r="H136" s="33">
        <f t="shared" si="26"/>
        <v>4.5238653869674952</v>
      </c>
      <c r="I136" s="33">
        <v>272904.97499999998</v>
      </c>
      <c r="J136" s="33">
        <f t="shared" si="27"/>
        <v>4.2315277180170012</v>
      </c>
      <c r="K136" s="25">
        <v>0</v>
      </c>
      <c r="L136" s="33">
        <f t="shared" si="28"/>
        <v>0</v>
      </c>
      <c r="M136" s="33">
        <v>81871.492499999993</v>
      </c>
      <c r="N136" s="33">
        <f t="shared" si="29"/>
        <v>4.6999262044094792</v>
      </c>
      <c r="P136" s="24"/>
      <c r="Q136" s="31"/>
      <c r="R136" s="31"/>
      <c r="S136" s="31"/>
    </row>
    <row r="137" spans="1:20" ht="15" customHeight="1" x14ac:dyDescent="0.25">
      <c r="A137" s="62"/>
      <c r="B137" s="13" t="s">
        <v>129</v>
      </c>
      <c r="C137" s="63"/>
      <c r="D137" s="4">
        <v>1</v>
      </c>
      <c r="E137" s="4">
        <v>0</v>
      </c>
      <c r="F137" s="33">
        <f t="shared" si="25"/>
        <v>0</v>
      </c>
      <c r="G137" s="29">
        <v>535590</v>
      </c>
      <c r="H137" s="33">
        <f t="shared" si="26"/>
        <v>5.0978882298547088</v>
      </c>
      <c r="I137" s="33">
        <v>354963.7</v>
      </c>
      <c r="J137" s="33">
        <f t="shared" si="27"/>
        <v>5.5038891666957399</v>
      </c>
      <c r="K137" s="25">
        <v>29100</v>
      </c>
      <c r="L137" s="33">
        <f t="shared" si="28"/>
        <v>13.236297475551513</v>
      </c>
      <c r="M137" s="33">
        <v>146489.10999999999</v>
      </c>
      <c r="N137" s="33">
        <f t="shared" si="29"/>
        <v>8.4093740779139061</v>
      </c>
      <c r="P137" s="24"/>
      <c r="Q137" s="31"/>
      <c r="R137" s="31"/>
      <c r="S137" s="31"/>
    </row>
    <row r="138" spans="1:20" ht="15" customHeight="1" x14ac:dyDescent="0.25">
      <c r="A138" s="62"/>
      <c r="B138" s="13" t="s">
        <v>130</v>
      </c>
      <c r="C138" s="63"/>
      <c r="D138" s="4">
        <v>1</v>
      </c>
      <c r="E138" s="4">
        <v>0</v>
      </c>
      <c r="F138" s="33">
        <f t="shared" si="25"/>
        <v>0</v>
      </c>
      <c r="G138" s="29">
        <v>586845.6</v>
      </c>
      <c r="H138" s="33">
        <f t="shared" si="26"/>
        <v>5.5857526783211489</v>
      </c>
      <c r="I138" s="33">
        <v>387254.728</v>
      </c>
      <c r="J138" s="33">
        <f t="shared" si="27"/>
        <v>6.0045776573517387</v>
      </c>
      <c r="K138" s="25">
        <v>0</v>
      </c>
      <c r="L138" s="33">
        <f t="shared" si="28"/>
        <v>0</v>
      </c>
      <c r="M138" s="33">
        <v>96176</v>
      </c>
      <c r="N138" s="33">
        <f t="shared" si="29"/>
        <v>5.5210927373198446</v>
      </c>
      <c r="P138" s="24"/>
      <c r="Q138" s="31"/>
      <c r="R138" s="31"/>
      <c r="S138" s="31"/>
    </row>
    <row r="139" spans="1:20" ht="15" customHeight="1" x14ac:dyDescent="0.25">
      <c r="A139" s="62"/>
      <c r="B139" s="13" t="s">
        <v>131</v>
      </c>
      <c r="C139" s="63"/>
      <c r="D139" s="4">
        <v>1</v>
      </c>
      <c r="E139" s="25">
        <v>0</v>
      </c>
      <c r="F139" s="33">
        <f t="shared" si="25"/>
        <v>0</v>
      </c>
      <c r="G139" s="29">
        <v>627066</v>
      </c>
      <c r="H139" s="33">
        <f t="shared" si="26"/>
        <v>5.9685811548798009</v>
      </c>
      <c r="I139" s="33">
        <v>412593.58</v>
      </c>
      <c r="J139" s="33">
        <f t="shared" si="27"/>
        <v>6.3974691925123945</v>
      </c>
      <c r="K139" s="25">
        <v>1750</v>
      </c>
      <c r="L139" s="33">
        <f t="shared" si="28"/>
        <v>0.79599727086649985</v>
      </c>
      <c r="M139" s="33">
        <v>123778</v>
      </c>
      <c r="N139" s="33">
        <f t="shared" si="29"/>
        <v>7.1056169609879358</v>
      </c>
      <c r="P139" s="24"/>
      <c r="Q139" s="31"/>
      <c r="R139" s="31"/>
      <c r="S139" s="31"/>
    </row>
    <row r="140" spans="1:20" ht="15" customHeight="1" x14ac:dyDescent="0.25">
      <c r="A140" s="62"/>
      <c r="B140" s="13" t="s">
        <v>132</v>
      </c>
      <c r="C140" s="63"/>
      <c r="D140" s="4">
        <v>1</v>
      </c>
      <c r="E140" s="25">
        <v>8000</v>
      </c>
      <c r="F140" s="33">
        <f t="shared" si="25"/>
        <v>10.732204663142927</v>
      </c>
      <c r="G140" s="29">
        <v>303677.88</v>
      </c>
      <c r="H140" s="33">
        <f t="shared" si="26"/>
        <v>2.8904869211882795</v>
      </c>
      <c r="I140" s="33">
        <v>208859</v>
      </c>
      <c r="J140" s="33">
        <f t="shared" si="27"/>
        <v>3.2384629399200691</v>
      </c>
      <c r="K140" s="25">
        <v>0</v>
      </c>
      <c r="L140" s="33">
        <f t="shared" si="28"/>
        <v>0</v>
      </c>
      <c r="M140" s="33">
        <v>22300</v>
      </c>
      <c r="N140" s="33">
        <f t="shared" si="29"/>
        <v>1.2801568794941829</v>
      </c>
      <c r="P140" s="24"/>
      <c r="Q140" s="31"/>
      <c r="R140" s="31"/>
      <c r="S140" s="31"/>
    </row>
    <row r="141" spans="1:20" ht="15" customHeight="1" x14ac:dyDescent="0.25">
      <c r="A141" s="62"/>
      <c r="B141" s="13" t="s">
        <v>133</v>
      </c>
      <c r="C141" s="63"/>
      <c r="D141" s="4">
        <v>1</v>
      </c>
      <c r="E141" s="4">
        <v>0</v>
      </c>
      <c r="F141" s="33">
        <f t="shared" si="25"/>
        <v>0</v>
      </c>
      <c r="G141" s="29">
        <v>429429</v>
      </c>
      <c r="H141" s="33">
        <f t="shared" si="26"/>
        <v>4.0874195647011291</v>
      </c>
      <c r="I141" s="33">
        <v>288082.27</v>
      </c>
      <c r="J141" s="33">
        <f t="shared" si="27"/>
        <v>4.4668592449597444</v>
      </c>
      <c r="K141" s="25">
        <v>19600</v>
      </c>
      <c r="L141" s="33">
        <f t="shared" si="28"/>
        <v>8.9151694337047989</v>
      </c>
      <c r="M141" s="33">
        <v>86424</v>
      </c>
      <c r="N141" s="33">
        <f t="shared" si="29"/>
        <v>4.9612680786280388</v>
      </c>
      <c r="P141" s="31"/>
      <c r="Q141" s="31"/>
      <c r="R141" s="31"/>
      <c r="S141" s="31"/>
    </row>
    <row r="142" spans="1:20" ht="15" customHeight="1" x14ac:dyDescent="0.25">
      <c r="A142" s="62"/>
      <c r="B142" s="13" t="s">
        <v>134</v>
      </c>
      <c r="C142" s="63"/>
      <c r="D142" s="4">
        <v>1</v>
      </c>
      <c r="E142" s="4">
        <v>3500</v>
      </c>
      <c r="F142" s="33">
        <f t="shared" si="25"/>
        <v>4.6953395401250306</v>
      </c>
      <c r="G142" s="29">
        <v>396089.10000000003</v>
      </c>
      <c r="H142" s="33">
        <f t="shared" si="26"/>
        <v>3.770081519191443</v>
      </c>
      <c r="I142" s="33">
        <v>254782.13300000003</v>
      </c>
      <c r="J142" s="33">
        <f t="shared" si="27"/>
        <v>3.9505240160792026</v>
      </c>
      <c r="K142" s="25">
        <v>0</v>
      </c>
      <c r="L142" s="33">
        <f t="shared" si="28"/>
        <v>0</v>
      </c>
      <c r="M142" s="33">
        <v>0</v>
      </c>
      <c r="N142" s="33">
        <f t="shared" si="29"/>
        <v>0</v>
      </c>
      <c r="P142" s="24"/>
      <c r="Q142" s="31"/>
      <c r="R142" s="31"/>
      <c r="S142" s="31"/>
    </row>
    <row r="143" spans="1:20" ht="15.75" x14ac:dyDescent="0.25">
      <c r="A143" s="62"/>
      <c r="B143" s="13" t="s">
        <v>28</v>
      </c>
      <c r="C143" s="63"/>
      <c r="D143" s="4">
        <v>1</v>
      </c>
      <c r="E143" s="25">
        <v>0</v>
      </c>
      <c r="F143" s="33">
        <f t="shared" si="25"/>
        <v>0</v>
      </c>
      <c r="G143" s="29">
        <v>535590</v>
      </c>
      <c r="H143" s="33">
        <f t="shared" si="26"/>
        <v>5.0978882298547088</v>
      </c>
      <c r="I143" s="33">
        <v>342667.7</v>
      </c>
      <c r="J143" s="33">
        <f t="shared" si="27"/>
        <v>5.3132335554496013</v>
      </c>
      <c r="K143" s="25">
        <v>18000</v>
      </c>
      <c r="L143" s="33">
        <f t="shared" si="28"/>
        <v>8.1874005003411412</v>
      </c>
      <c r="M143" s="33">
        <v>102800.31</v>
      </c>
      <c r="N143" s="33">
        <f t="shared" si="29"/>
        <v>5.9013687919567106</v>
      </c>
      <c r="P143" s="24"/>
      <c r="Q143" s="31"/>
      <c r="R143" s="31"/>
      <c r="S143" s="31"/>
    </row>
    <row r="144" spans="1:20" ht="15.75" x14ac:dyDescent="0.25">
      <c r="A144" s="62"/>
      <c r="B144" s="13" t="s">
        <v>135</v>
      </c>
      <c r="C144" s="63"/>
      <c r="D144" s="4">
        <v>1</v>
      </c>
      <c r="E144" s="4">
        <v>4578</v>
      </c>
      <c r="F144" s="33">
        <f t="shared" si="25"/>
        <v>6.1415041184835397</v>
      </c>
      <c r="G144" s="29">
        <v>483565.6</v>
      </c>
      <c r="H144" s="33">
        <f t="shared" si="26"/>
        <v>4.6027061382823238</v>
      </c>
      <c r="I144" s="33">
        <v>309892</v>
      </c>
      <c r="J144" s="33">
        <f t="shared" si="27"/>
        <v>4.80502998375799</v>
      </c>
      <c r="K144" s="25">
        <v>21600</v>
      </c>
      <c r="L144" s="33">
        <f t="shared" si="28"/>
        <v>9.8248806004093705</v>
      </c>
      <c r="M144" s="33">
        <v>92967.599999999991</v>
      </c>
      <c r="N144" s="33">
        <f t="shared" si="29"/>
        <v>5.3369108838593444</v>
      </c>
      <c r="P144" s="24"/>
      <c r="Q144" s="31"/>
      <c r="R144" s="31"/>
      <c r="S144" s="31"/>
    </row>
    <row r="145" spans="1:19" ht="15.75" x14ac:dyDescent="0.25">
      <c r="A145" s="62"/>
      <c r="B145" s="13" t="s">
        <v>24</v>
      </c>
      <c r="C145" s="63"/>
      <c r="D145" s="4">
        <v>1</v>
      </c>
      <c r="E145" s="4">
        <v>0</v>
      </c>
      <c r="F145" s="33">
        <f t="shared" si="25"/>
        <v>0</v>
      </c>
      <c r="G145" s="29">
        <v>392785.80000000005</v>
      </c>
      <c r="H145" s="33">
        <f t="shared" si="26"/>
        <v>3.7386398302322035</v>
      </c>
      <c r="I145" s="33">
        <v>252701.05400000003</v>
      </c>
      <c r="J145" s="33">
        <f t="shared" si="27"/>
        <v>3.9182558484802676</v>
      </c>
      <c r="K145" s="25">
        <v>0</v>
      </c>
      <c r="L145" s="33">
        <f t="shared" si="28"/>
        <v>0</v>
      </c>
      <c r="M145" s="33">
        <v>75810</v>
      </c>
      <c r="N145" s="33">
        <f t="shared" si="29"/>
        <v>4.3519593288992828</v>
      </c>
      <c r="P145" s="24"/>
      <c r="Q145" s="31"/>
      <c r="R145" s="31"/>
      <c r="S145" s="31"/>
    </row>
    <row r="146" spans="1:19" ht="15.75" x14ac:dyDescent="0.25">
      <c r="A146" s="62"/>
      <c r="B146" s="13" t="s">
        <v>143</v>
      </c>
      <c r="C146" s="63"/>
      <c r="D146" s="4">
        <v>1</v>
      </c>
      <c r="E146" s="25">
        <v>0</v>
      </c>
      <c r="F146" s="33">
        <f t="shared" si="25"/>
        <v>0</v>
      </c>
      <c r="G146" s="29">
        <v>553756.5</v>
      </c>
      <c r="H146" s="33">
        <f t="shared" si="26"/>
        <v>5.2708018139911852</v>
      </c>
      <c r="I146" s="33">
        <v>354112.59500000003</v>
      </c>
      <c r="J146" s="33">
        <f t="shared" si="27"/>
        <v>5.4906923592779098</v>
      </c>
      <c r="K146" s="25">
        <v>0</v>
      </c>
      <c r="L146" s="33">
        <f t="shared" si="28"/>
        <v>0</v>
      </c>
      <c r="M146" s="33">
        <v>106233</v>
      </c>
      <c r="N146" s="33">
        <f t="shared" si="29"/>
        <v>6.098426268130293</v>
      </c>
      <c r="P146" s="24"/>
      <c r="Q146" s="31"/>
      <c r="R146" s="31"/>
      <c r="S146" s="31"/>
    </row>
    <row r="147" spans="1:19" ht="15.75" x14ac:dyDescent="0.25">
      <c r="A147" s="62"/>
      <c r="B147" s="13" t="s">
        <v>144</v>
      </c>
      <c r="C147" s="63"/>
      <c r="D147" s="4">
        <v>1</v>
      </c>
      <c r="E147" s="25">
        <v>19044</v>
      </c>
      <c r="F147" s="33">
        <f t="shared" si="25"/>
        <v>25.548013200611738</v>
      </c>
      <c r="G147" s="29">
        <v>581565.6</v>
      </c>
      <c r="H147" s="33">
        <f t="shared" si="26"/>
        <v>5.535496232432255</v>
      </c>
      <c r="I147" s="33">
        <v>371632.32799999998</v>
      </c>
      <c r="J147" s="33">
        <f t="shared" si="27"/>
        <v>5.7623445554379717</v>
      </c>
      <c r="K147" s="25">
        <v>32900</v>
      </c>
      <c r="L147" s="33">
        <f t="shared" si="28"/>
        <v>14.964748692290199</v>
      </c>
      <c r="M147" s="33">
        <v>131489</v>
      </c>
      <c r="N147" s="33">
        <f t="shared" si="29"/>
        <v>7.5482756918300726</v>
      </c>
      <c r="P147" s="24"/>
      <c r="Q147" s="31"/>
      <c r="R147" s="31"/>
      <c r="S147" s="31"/>
    </row>
    <row r="148" spans="1:19" ht="15.75" x14ac:dyDescent="0.25">
      <c r="A148" s="62"/>
      <c r="B148" s="13" t="s">
        <v>145</v>
      </c>
      <c r="C148" s="63"/>
      <c r="D148" s="4">
        <v>1</v>
      </c>
      <c r="E148" s="25">
        <v>0</v>
      </c>
      <c r="F148" s="33">
        <f t="shared" si="25"/>
        <v>0</v>
      </c>
      <c r="G148" s="29">
        <v>482641.5</v>
      </c>
      <c r="H148" s="33">
        <f t="shared" si="26"/>
        <v>4.5939103084251416</v>
      </c>
      <c r="I148" s="33">
        <v>296524</v>
      </c>
      <c r="J148" s="33">
        <f t="shared" si="27"/>
        <v>4.5977524779725014</v>
      </c>
      <c r="K148" s="25">
        <v>0</v>
      </c>
      <c r="L148" s="33">
        <f t="shared" si="28"/>
        <v>0</v>
      </c>
      <c r="M148" s="33">
        <v>78957.2</v>
      </c>
      <c r="N148" s="33">
        <f t="shared" si="29"/>
        <v>4.5326279267084351</v>
      </c>
      <c r="P148" s="24"/>
      <c r="Q148" s="31"/>
      <c r="R148" s="31"/>
      <c r="S148" s="31"/>
    </row>
    <row r="149" spans="1:19" ht="15.75" x14ac:dyDescent="0.25">
      <c r="A149" s="62"/>
      <c r="B149" s="13" t="s">
        <v>146</v>
      </c>
      <c r="C149" s="63"/>
      <c r="D149" s="4">
        <v>1</v>
      </c>
      <c r="E149" s="25">
        <v>16900</v>
      </c>
      <c r="F149" s="33">
        <f t="shared" si="25"/>
        <v>22.671782350889433</v>
      </c>
      <c r="G149" s="33">
        <v>412510.89</v>
      </c>
      <c r="H149" s="33">
        <f t="shared" si="26"/>
        <v>3.9263884889895078</v>
      </c>
      <c r="I149" s="33">
        <v>252341.86070000002</v>
      </c>
      <c r="J149" s="33">
        <f t="shared" si="27"/>
        <v>3.9126863772565348</v>
      </c>
      <c r="K149" s="25">
        <v>0</v>
      </c>
      <c r="L149" s="33">
        <f t="shared" si="28"/>
        <v>0</v>
      </c>
      <c r="M149" s="33">
        <v>0</v>
      </c>
      <c r="N149" s="33">
        <f t="shared" si="29"/>
        <v>0</v>
      </c>
      <c r="P149" s="24"/>
      <c r="Q149" s="31"/>
      <c r="R149" s="31"/>
      <c r="S149" s="31"/>
    </row>
    <row r="150" spans="1:19" ht="15.75" x14ac:dyDescent="0.25">
      <c r="A150" s="62"/>
      <c r="B150" s="13" t="s">
        <v>147</v>
      </c>
      <c r="C150" s="63"/>
      <c r="D150" s="4">
        <v>1</v>
      </c>
      <c r="E150" s="25">
        <v>0</v>
      </c>
      <c r="F150" s="33">
        <f t="shared" si="25"/>
        <v>0</v>
      </c>
      <c r="G150" s="33">
        <v>316909.56</v>
      </c>
      <c r="H150" s="33">
        <f t="shared" si="26"/>
        <v>3.0164295745858483</v>
      </c>
      <c r="I150" s="33">
        <v>192113.02280000001</v>
      </c>
      <c r="J150" s="33">
        <f t="shared" si="27"/>
        <v>2.9788082132626283</v>
      </c>
      <c r="K150" s="25">
        <v>0</v>
      </c>
      <c r="L150" s="33">
        <f t="shared" si="28"/>
        <v>0</v>
      </c>
      <c r="M150" s="33">
        <v>57633</v>
      </c>
      <c r="N150" s="33">
        <f t="shared" si="29"/>
        <v>3.3084879567662888</v>
      </c>
      <c r="P150" s="24"/>
      <c r="Q150" s="31"/>
      <c r="R150" s="31"/>
      <c r="S150" s="31"/>
    </row>
    <row r="151" spans="1:19" ht="15.75" x14ac:dyDescent="0.25">
      <c r="A151" s="3"/>
      <c r="B151" s="14"/>
      <c r="C151" s="3"/>
      <c r="D151" s="5">
        <f>SUM(D133:D150)</f>
        <v>20</v>
      </c>
      <c r="E151" s="21">
        <f>SUM(E133:E150)</f>
        <v>74542</v>
      </c>
      <c r="F151" s="17">
        <v>1</v>
      </c>
      <c r="G151" s="21">
        <f>SUM(G133:G150)</f>
        <v>10506114.899999999</v>
      </c>
      <c r="H151" s="17">
        <v>1</v>
      </c>
      <c r="I151" s="21">
        <f>SUM(I133:I150)</f>
        <v>6449325.3465000009</v>
      </c>
      <c r="J151" s="17">
        <v>1</v>
      </c>
      <c r="K151" s="21">
        <f>SUM(K133:K150)</f>
        <v>219850</v>
      </c>
      <c r="L151" s="17">
        <v>1</v>
      </c>
      <c r="M151" s="21">
        <f>SUM(M133:M150)</f>
        <v>1741973.9124999999</v>
      </c>
      <c r="N151" s="17">
        <v>1</v>
      </c>
      <c r="P151" s="28"/>
      <c r="Q151" s="24"/>
      <c r="R151" s="24"/>
      <c r="S151" s="31"/>
    </row>
    <row r="152" spans="1:19" x14ac:dyDescent="0.25">
      <c r="A152" s="62" t="s">
        <v>157</v>
      </c>
      <c r="B152" s="13" t="s">
        <v>149</v>
      </c>
      <c r="C152" s="63" t="s">
        <v>88</v>
      </c>
      <c r="D152" s="25">
        <v>1</v>
      </c>
      <c r="E152" s="25">
        <v>0</v>
      </c>
      <c r="F152" s="33">
        <f>E152/531.85</f>
        <v>0</v>
      </c>
      <c r="G152" s="25">
        <v>1856000</v>
      </c>
      <c r="H152" s="33">
        <f>G152/111487.13</f>
        <v>16.647661483437595</v>
      </c>
      <c r="I152" s="33">
        <v>1110940</v>
      </c>
      <c r="J152" s="33">
        <f>I152/71496.35</f>
        <v>15.538415597439588</v>
      </c>
      <c r="K152" s="25">
        <v>21450</v>
      </c>
      <c r="L152" s="33">
        <f>K152/934.79</f>
        <v>22.946330191807785</v>
      </c>
      <c r="M152" s="33">
        <v>299188</v>
      </c>
      <c r="N152" s="33">
        <f>M152/15425.89</f>
        <v>19.395185626242636</v>
      </c>
      <c r="P152" s="24"/>
      <c r="Q152" s="24"/>
      <c r="R152" s="31"/>
      <c r="S152" s="24"/>
    </row>
    <row r="153" spans="1:19" x14ac:dyDescent="0.25">
      <c r="A153" s="62"/>
      <c r="B153" s="13" t="s">
        <v>150</v>
      </c>
      <c r="C153" s="63"/>
      <c r="D153" s="25">
        <v>1</v>
      </c>
      <c r="E153" s="25">
        <v>7900</v>
      </c>
      <c r="F153" s="33">
        <f t="shared" ref="F153:F159" si="30">E153/531.85</f>
        <v>14.85381216508414</v>
      </c>
      <c r="G153" s="25">
        <v>1746235</v>
      </c>
      <c r="H153" s="33">
        <f t="shared" ref="H153:H159" si="31">G153/111487.13</f>
        <v>15.663108378518668</v>
      </c>
      <c r="I153" s="33">
        <v>1139592.75</v>
      </c>
      <c r="J153" s="33">
        <f t="shared" ref="J153:J159" si="32">I153/71496.35</f>
        <v>15.939173817964132</v>
      </c>
      <c r="K153" s="25">
        <v>10330</v>
      </c>
      <c r="L153" s="33">
        <f t="shared" ref="L153:L159" si="33">K153/934.79</f>
        <v>11.050610297499974</v>
      </c>
      <c r="M153" s="33">
        <v>204918.55000000002</v>
      </c>
      <c r="N153" s="33">
        <f t="shared" ref="N153:N159" si="34">M153/15425.89</f>
        <v>13.284066591943805</v>
      </c>
      <c r="P153" s="24"/>
      <c r="Q153" s="24"/>
      <c r="R153" s="31"/>
      <c r="S153" s="24"/>
    </row>
    <row r="154" spans="1:19" x14ac:dyDescent="0.25">
      <c r="A154" s="62"/>
      <c r="B154" s="13" t="s">
        <v>151</v>
      </c>
      <c r="C154" s="63"/>
      <c r="D154" s="25">
        <v>2</v>
      </c>
      <c r="E154" s="25">
        <v>9622</v>
      </c>
      <c r="F154" s="33">
        <f t="shared" si="30"/>
        <v>18.091567171194885</v>
      </c>
      <c r="G154" s="25">
        <v>295633</v>
      </c>
      <c r="H154" s="33">
        <f t="shared" si="31"/>
        <v>2.6517231181751653</v>
      </c>
      <c r="I154" s="33">
        <v>96701.450000000012</v>
      </c>
      <c r="J154" s="33">
        <f t="shared" si="32"/>
        <v>1.3525368777566966</v>
      </c>
      <c r="K154" s="25">
        <v>0</v>
      </c>
      <c r="L154" s="33">
        <f t="shared" si="33"/>
        <v>0</v>
      </c>
      <c r="M154" s="33">
        <v>0</v>
      </c>
      <c r="N154" s="33">
        <f t="shared" si="34"/>
        <v>0</v>
      </c>
      <c r="P154" s="24"/>
      <c r="Q154" s="24"/>
      <c r="R154" s="31"/>
      <c r="S154" s="24"/>
    </row>
    <row r="155" spans="1:19" x14ac:dyDescent="0.25">
      <c r="A155" s="62"/>
      <c r="B155" s="13" t="s">
        <v>152</v>
      </c>
      <c r="C155" s="63"/>
      <c r="D155" s="25">
        <v>1</v>
      </c>
      <c r="E155" s="25">
        <v>22063</v>
      </c>
      <c r="F155" s="33">
        <f t="shared" si="30"/>
        <v>41.483500987120429</v>
      </c>
      <c r="G155" s="25">
        <v>950456</v>
      </c>
      <c r="H155" s="33">
        <f t="shared" si="31"/>
        <v>8.5252530942360796</v>
      </c>
      <c r="I155" s="33">
        <v>572560.4</v>
      </c>
      <c r="J155" s="33">
        <f t="shared" si="32"/>
        <v>8.0082465748251472</v>
      </c>
      <c r="K155" s="25">
        <v>0</v>
      </c>
      <c r="L155" s="33">
        <f t="shared" si="33"/>
        <v>0</v>
      </c>
      <c r="M155" s="33">
        <v>136012.08000000002</v>
      </c>
      <c r="N155" s="33">
        <f t="shared" si="34"/>
        <v>8.8171301623439575</v>
      </c>
      <c r="P155" s="24"/>
      <c r="Q155" s="24"/>
      <c r="R155" s="31"/>
      <c r="S155" s="24"/>
    </row>
    <row r="156" spans="1:19" x14ac:dyDescent="0.25">
      <c r="A156" s="62"/>
      <c r="B156" s="13" t="s">
        <v>153</v>
      </c>
      <c r="C156" s="63"/>
      <c r="D156" s="25">
        <v>1</v>
      </c>
      <c r="E156" s="25">
        <v>0</v>
      </c>
      <c r="F156" s="33">
        <f t="shared" si="30"/>
        <v>0</v>
      </c>
      <c r="G156" s="25">
        <v>1500878</v>
      </c>
      <c r="H156" s="33">
        <f t="shared" si="31"/>
        <v>13.462343142208432</v>
      </c>
      <c r="I156" s="33">
        <v>930334.70000000007</v>
      </c>
      <c r="J156" s="33">
        <f t="shared" si="32"/>
        <v>13.012338392099737</v>
      </c>
      <c r="K156" s="25">
        <v>8500</v>
      </c>
      <c r="L156" s="33">
        <f t="shared" si="33"/>
        <v>9.0929513580590289</v>
      </c>
      <c r="M156" s="33">
        <v>207566.94000000003</v>
      </c>
      <c r="N156" s="33">
        <f t="shared" si="34"/>
        <v>13.455751337524125</v>
      </c>
      <c r="P156" s="24"/>
      <c r="Q156" s="24"/>
      <c r="R156" s="31"/>
      <c r="S156" s="24"/>
    </row>
    <row r="157" spans="1:19" x14ac:dyDescent="0.25">
      <c r="A157" s="62"/>
      <c r="B157" s="13" t="s">
        <v>154</v>
      </c>
      <c r="C157" s="63"/>
      <c r="D157" s="25">
        <v>2</v>
      </c>
      <c r="E157" s="25">
        <v>13600</v>
      </c>
      <c r="F157" s="33">
        <f t="shared" si="30"/>
        <v>25.571119676600546</v>
      </c>
      <c r="G157" s="25">
        <v>3600789</v>
      </c>
      <c r="H157" s="33">
        <f t="shared" si="31"/>
        <v>32.297799755003112</v>
      </c>
      <c r="I157" s="33">
        <v>2395276.85</v>
      </c>
      <c r="J157" s="33">
        <f t="shared" si="32"/>
        <v>33.502085770812073</v>
      </c>
      <c r="K157" s="25">
        <v>35633</v>
      </c>
      <c r="L157" s="33">
        <f t="shared" si="33"/>
        <v>38.118721851966754</v>
      </c>
      <c r="M157" s="33">
        <v>490555.37</v>
      </c>
      <c r="N157" s="33">
        <f t="shared" si="34"/>
        <v>31.800782321149704</v>
      </c>
      <c r="P157" s="24"/>
      <c r="Q157" s="24"/>
      <c r="R157" s="31"/>
      <c r="S157" s="24"/>
    </row>
    <row r="158" spans="1:19" x14ac:dyDescent="0.25">
      <c r="A158" s="62"/>
      <c r="B158" s="13" t="s">
        <v>155</v>
      </c>
      <c r="C158" s="63"/>
      <c r="D158" s="25">
        <v>1</v>
      </c>
      <c r="E158" s="25">
        <v>0</v>
      </c>
      <c r="F158" s="33">
        <f t="shared" si="30"/>
        <v>0</v>
      </c>
      <c r="G158" s="25">
        <v>1100122</v>
      </c>
      <c r="H158" s="33">
        <f t="shared" si="31"/>
        <v>9.8677040121133253</v>
      </c>
      <c r="I158" s="33">
        <v>777609.3</v>
      </c>
      <c r="J158" s="33">
        <f t="shared" si="32"/>
        <v>10.876209764554414</v>
      </c>
      <c r="K158" s="25">
        <v>17566</v>
      </c>
      <c r="L158" s="33">
        <f t="shared" si="33"/>
        <v>18.79138630066646</v>
      </c>
      <c r="M158" s="33">
        <v>177021.86000000002</v>
      </c>
      <c r="N158" s="33">
        <f t="shared" si="34"/>
        <v>11.475633496673451</v>
      </c>
      <c r="P158" s="24"/>
      <c r="Q158" s="24"/>
      <c r="R158" s="31"/>
      <c r="S158" s="24"/>
    </row>
    <row r="159" spans="1:19" x14ac:dyDescent="0.25">
      <c r="A159" s="62"/>
      <c r="B159" s="13" t="s">
        <v>156</v>
      </c>
      <c r="C159" s="63"/>
      <c r="D159" s="25">
        <v>1</v>
      </c>
      <c r="E159" s="25">
        <v>0</v>
      </c>
      <c r="F159" s="33">
        <f t="shared" si="30"/>
        <v>0</v>
      </c>
      <c r="G159" s="25">
        <v>98600</v>
      </c>
      <c r="H159" s="33">
        <f t="shared" si="31"/>
        <v>0.8844070163076222</v>
      </c>
      <c r="I159" s="33">
        <v>126620</v>
      </c>
      <c r="J159" s="33">
        <f t="shared" si="32"/>
        <v>1.7709994985758013</v>
      </c>
      <c r="K159" s="25">
        <v>0</v>
      </c>
      <c r="L159" s="33">
        <f t="shared" si="33"/>
        <v>0</v>
      </c>
      <c r="M159" s="33">
        <v>27326</v>
      </c>
      <c r="N159" s="33">
        <f t="shared" si="34"/>
        <v>1.7714374989060599</v>
      </c>
      <c r="P159" s="24"/>
      <c r="Q159" s="24"/>
      <c r="R159" s="31"/>
      <c r="S159" s="24"/>
    </row>
    <row r="160" spans="1:19" ht="15.75" x14ac:dyDescent="0.25">
      <c r="A160" s="3"/>
      <c r="B160" s="14"/>
      <c r="C160" s="3"/>
      <c r="D160" s="3">
        <f>SUM(D152:D159)</f>
        <v>10</v>
      </c>
      <c r="E160" s="21">
        <f>SUM(E152:E159)</f>
        <v>53185</v>
      </c>
      <c r="F160" s="17">
        <v>1</v>
      </c>
      <c r="G160" s="21">
        <f>SUM(G152:G159)</f>
        <v>11148713</v>
      </c>
      <c r="H160" s="17">
        <v>1</v>
      </c>
      <c r="I160" s="21">
        <f>SUM(I152:I159)</f>
        <v>7149635.4500000002</v>
      </c>
      <c r="J160" s="17">
        <v>1</v>
      </c>
      <c r="K160" s="21">
        <f>SUM(K152:K159)</f>
        <v>93479</v>
      </c>
      <c r="L160" s="17">
        <v>1</v>
      </c>
      <c r="M160" s="21">
        <f>SUM(M152:M159)</f>
        <v>1542588.8000000003</v>
      </c>
      <c r="N160" s="17">
        <v>1</v>
      </c>
      <c r="P160" s="28"/>
      <c r="Q160" s="24"/>
      <c r="R160" s="31"/>
      <c r="S160" s="24"/>
    </row>
    <row r="161" spans="1:19" x14ac:dyDescent="0.25">
      <c r="A161" s="62" t="s">
        <v>167</v>
      </c>
      <c r="B161" s="13" t="s">
        <v>158</v>
      </c>
      <c r="C161" s="63" t="s">
        <v>88</v>
      </c>
      <c r="D161" s="25">
        <v>1</v>
      </c>
      <c r="E161" s="25">
        <v>6500</v>
      </c>
      <c r="F161" s="33">
        <f>E161/432.68</f>
        <v>15.022649533142276</v>
      </c>
      <c r="G161" s="33">
        <v>998093.25</v>
      </c>
      <c r="H161" s="33">
        <f>G161/100124.35</f>
        <v>9.9685366247071752</v>
      </c>
      <c r="I161" s="41">
        <v>376608.86549999996</v>
      </c>
      <c r="J161" s="33">
        <f>I161/42568.88</f>
        <v>8.8470466101057852</v>
      </c>
      <c r="K161" s="25">
        <v>6320</v>
      </c>
      <c r="L161" s="33">
        <f>K161/791.7</f>
        <v>7.982821775925224</v>
      </c>
      <c r="M161" s="33">
        <v>123625.21</v>
      </c>
      <c r="N161" s="33">
        <f>M161/11059.84</f>
        <v>11.177847961634166</v>
      </c>
      <c r="P161" s="24"/>
      <c r="Q161" s="31"/>
      <c r="R161" s="31"/>
      <c r="S161" s="31"/>
    </row>
    <row r="162" spans="1:19" x14ac:dyDescent="0.25">
      <c r="A162" s="62"/>
      <c r="B162" s="13" t="s">
        <v>28</v>
      </c>
      <c r="C162" s="63"/>
      <c r="D162" s="25">
        <v>1</v>
      </c>
      <c r="E162" s="25">
        <v>0</v>
      </c>
      <c r="F162" s="33">
        <f t="shared" ref="F162:F170" si="35">E162/432.68</f>
        <v>0</v>
      </c>
      <c r="G162" s="33">
        <v>924739</v>
      </c>
      <c r="H162" s="33">
        <f t="shared" ref="H162:H170" si="36">G162/100124.35</f>
        <v>9.2359051519435571</v>
      </c>
      <c r="I162" s="33">
        <v>489849.90599999996</v>
      </c>
      <c r="J162" s="33">
        <f t="shared" ref="J162:J170" si="37">I162/42568.88</f>
        <v>11.50723030533103</v>
      </c>
      <c r="K162" s="25">
        <v>29100</v>
      </c>
      <c r="L162" s="33">
        <f t="shared" ref="L162:L170" si="38">K162/791.7</f>
        <v>36.756347101174683</v>
      </c>
      <c r="M162" s="33">
        <v>221198.55609999999</v>
      </c>
      <c r="N162" s="33">
        <f t="shared" ref="N162:N170" si="39">M162/11059.84</f>
        <v>20.000158781682192</v>
      </c>
      <c r="P162" s="24"/>
      <c r="Q162" s="31"/>
      <c r="R162" s="31"/>
      <c r="S162" s="31"/>
    </row>
    <row r="163" spans="1:19" x14ac:dyDescent="0.25">
      <c r="A163" s="62"/>
      <c r="B163" s="13" t="s">
        <v>159</v>
      </c>
      <c r="C163" s="63"/>
      <c r="D163" s="25">
        <v>1</v>
      </c>
      <c r="E163" s="25">
        <v>7090</v>
      </c>
      <c r="F163" s="33">
        <f t="shared" si="35"/>
        <v>16.386243875381343</v>
      </c>
      <c r="G163" s="33">
        <v>1232375.76</v>
      </c>
      <c r="H163" s="33">
        <f t="shared" si="36"/>
        <v>12.308452039888397</v>
      </c>
      <c r="I163" s="33">
        <v>534411.52463999996</v>
      </c>
      <c r="J163" s="33">
        <f t="shared" si="37"/>
        <v>12.554042404686241</v>
      </c>
      <c r="K163" s="25">
        <v>0</v>
      </c>
      <c r="L163" s="33">
        <f t="shared" si="38"/>
        <v>0</v>
      </c>
      <c r="M163" s="33">
        <v>0</v>
      </c>
      <c r="N163" s="33">
        <f t="shared" si="39"/>
        <v>0</v>
      </c>
      <c r="P163" s="24"/>
      <c r="Q163" s="31"/>
      <c r="R163" s="31"/>
      <c r="S163" s="31"/>
    </row>
    <row r="164" spans="1:19" x14ac:dyDescent="0.25">
      <c r="A164" s="62"/>
      <c r="B164" s="13" t="s">
        <v>160</v>
      </c>
      <c r="C164" s="63"/>
      <c r="D164" s="25">
        <v>1</v>
      </c>
      <c r="E164" s="25">
        <v>0</v>
      </c>
      <c r="F164" s="33">
        <f t="shared" si="35"/>
        <v>0</v>
      </c>
      <c r="G164" s="33">
        <v>1316838.6000000001</v>
      </c>
      <c r="H164" s="33">
        <f t="shared" si="36"/>
        <v>13.152031448893302</v>
      </c>
      <c r="I164" s="33">
        <v>569379.14040000003</v>
      </c>
      <c r="J164" s="33">
        <f t="shared" si="37"/>
        <v>13.375478527976307</v>
      </c>
      <c r="K164" s="25">
        <v>7750</v>
      </c>
      <c r="L164" s="33">
        <f t="shared" si="38"/>
        <v>9.7890615131994441</v>
      </c>
      <c r="M164" s="33">
        <v>186904.78</v>
      </c>
      <c r="N164" s="33">
        <f t="shared" si="39"/>
        <v>16.899410841386494</v>
      </c>
      <c r="P164" s="24"/>
      <c r="Q164" s="31"/>
      <c r="R164" s="31"/>
      <c r="S164" s="31"/>
    </row>
    <row r="165" spans="1:19" x14ac:dyDescent="0.25">
      <c r="A165" s="62"/>
      <c r="B165" s="13" t="s">
        <v>161</v>
      </c>
      <c r="C165" s="63"/>
      <c r="D165" s="25">
        <v>1</v>
      </c>
      <c r="E165" s="25">
        <v>8000</v>
      </c>
      <c r="F165" s="33">
        <f t="shared" si="35"/>
        <v>18.489414810021263</v>
      </c>
      <c r="G165" s="33">
        <v>637723.54800000007</v>
      </c>
      <c r="H165" s="33">
        <f t="shared" si="36"/>
        <v>6.3693152365034083</v>
      </c>
      <c r="I165" s="33">
        <v>288225.42</v>
      </c>
      <c r="J165" s="33">
        <f t="shared" si="37"/>
        <v>6.7708011110463797</v>
      </c>
      <c r="K165" s="25">
        <v>0</v>
      </c>
      <c r="L165" s="33">
        <f t="shared" si="38"/>
        <v>0</v>
      </c>
      <c r="M165" s="33">
        <v>33673</v>
      </c>
      <c r="N165" s="33">
        <f t="shared" si="39"/>
        <v>3.0446190903304204</v>
      </c>
      <c r="P165" s="24"/>
      <c r="Q165" s="31"/>
      <c r="R165" s="31"/>
      <c r="S165" s="31"/>
    </row>
    <row r="166" spans="1:19" x14ac:dyDescent="0.25">
      <c r="A166" s="62"/>
      <c r="B166" s="13" t="s">
        <v>162</v>
      </c>
      <c r="C166" s="63"/>
      <c r="D166" s="25">
        <v>1</v>
      </c>
      <c r="E166" s="25">
        <v>0</v>
      </c>
      <c r="F166" s="33">
        <f t="shared" si="35"/>
        <v>0</v>
      </c>
      <c r="G166" s="33">
        <v>901800.9</v>
      </c>
      <c r="H166" s="33">
        <f t="shared" si="36"/>
        <v>9.0068090329675048</v>
      </c>
      <c r="I166" s="33">
        <v>397553.53259999998</v>
      </c>
      <c r="J166" s="33">
        <f t="shared" si="37"/>
        <v>9.3390648896564823</v>
      </c>
      <c r="K166" s="25">
        <v>19600</v>
      </c>
      <c r="L166" s="33">
        <f t="shared" si="38"/>
        <v>24.756852343059236</v>
      </c>
      <c r="M166" s="33">
        <v>130500.24</v>
      </c>
      <c r="N166" s="33">
        <f t="shared" si="39"/>
        <v>11.799469070076963</v>
      </c>
      <c r="P166" s="24"/>
      <c r="Q166" s="31"/>
      <c r="R166" s="31"/>
      <c r="S166" s="31"/>
    </row>
    <row r="167" spans="1:19" x14ac:dyDescent="0.25">
      <c r="A167" s="62"/>
      <c r="B167" s="13" t="s">
        <v>163</v>
      </c>
      <c r="C167" s="63"/>
      <c r="D167" s="25">
        <v>1</v>
      </c>
      <c r="E167" s="25">
        <v>3500</v>
      </c>
      <c r="F167" s="33">
        <f t="shared" si="35"/>
        <v>8.0891189793843026</v>
      </c>
      <c r="G167" s="33">
        <v>831787.1100000001</v>
      </c>
      <c r="H167" s="33">
        <f t="shared" si="36"/>
        <v>8.3075406731729107</v>
      </c>
      <c r="I167" s="33">
        <v>351599.34354000003</v>
      </c>
      <c r="J167" s="33">
        <f t="shared" si="37"/>
        <v>8.2595394461869809</v>
      </c>
      <c r="K167" s="25">
        <v>0</v>
      </c>
      <c r="L167" s="33">
        <f t="shared" si="38"/>
        <v>0</v>
      </c>
      <c r="M167" s="33">
        <v>0</v>
      </c>
      <c r="N167" s="33">
        <f t="shared" si="39"/>
        <v>0</v>
      </c>
      <c r="P167" s="24"/>
      <c r="Q167" s="31"/>
      <c r="R167" s="31"/>
      <c r="S167" s="31"/>
    </row>
    <row r="168" spans="1:19" x14ac:dyDescent="0.25">
      <c r="A168" s="62"/>
      <c r="B168" s="13" t="s">
        <v>164</v>
      </c>
      <c r="C168" s="63"/>
      <c r="D168" s="25">
        <v>1</v>
      </c>
      <c r="E168" s="25">
        <v>3600</v>
      </c>
      <c r="F168" s="33">
        <f t="shared" si="35"/>
        <v>8.3202366645095687</v>
      </c>
      <c r="G168" s="33">
        <v>1224739</v>
      </c>
      <c r="H168" s="33">
        <f t="shared" si="36"/>
        <v>12.232179285059029</v>
      </c>
      <c r="I168" s="33">
        <v>472881.42599999998</v>
      </c>
      <c r="J168" s="33">
        <f t="shared" si="37"/>
        <v>11.108617985721024</v>
      </c>
      <c r="K168" s="25">
        <v>8800</v>
      </c>
      <c r="L168" s="33">
        <f t="shared" si="38"/>
        <v>11.115321460149046</v>
      </c>
      <c r="M168" s="33">
        <v>155228.4681</v>
      </c>
      <c r="N168" s="33">
        <f t="shared" si="39"/>
        <v>14.035326740712343</v>
      </c>
      <c r="P168" s="24"/>
      <c r="Q168" s="31"/>
      <c r="R168" s="31"/>
      <c r="S168" s="31"/>
    </row>
    <row r="169" spans="1:19" x14ac:dyDescent="0.25">
      <c r="A169" s="62"/>
      <c r="B169" s="13" t="s">
        <v>165</v>
      </c>
      <c r="C169" s="63"/>
      <c r="D169" s="25">
        <v>1</v>
      </c>
      <c r="E169" s="25">
        <v>14578</v>
      </c>
      <c r="F169" s="33">
        <f t="shared" si="35"/>
        <v>33.692336137561249</v>
      </c>
      <c r="G169" s="33">
        <v>1119487.76</v>
      </c>
      <c r="H169" s="33">
        <f t="shared" si="36"/>
        <v>11.180974058757934</v>
      </c>
      <c r="I169" s="33">
        <v>427650.95999999996</v>
      </c>
      <c r="J169" s="33">
        <f t="shared" si="37"/>
        <v>10.046093766150296</v>
      </c>
      <c r="K169" s="25">
        <v>7600</v>
      </c>
      <c r="L169" s="33">
        <f t="shared" si="38"/>
        <v>9.5995958064923581</v>
      </c>
      <c r="M169" s="33">
        <v>140381.076</v>
      </c>
      <c r="N169" s="33">
        <f t="shared" si="39"/>
        <v>12.692866804583067</v>
      </c>
      <c r="P169" s="24"/>
      <c r="Q169" s="31"/>
      <c r="R169" s="31"/>
      <c r="S169" s="31"/>
    </row>
    <row r="170" spans="1:19" x14ac:dyDescent="0.25">
      <c r="A170" s="62"/>
      <c r="B170" s="13" t="s">
        <v>166</v>
      </c>
      <c r="C170" s="63"/>
      <c r="D170" s="25">
        <v>1</v>
      </c>
      <c r="E170" s="25">
        <v>0</v>
      </c>
      <c r="F170" s="33">
        <f t="shared" si="35"/>
        <v>0</v>
      </c>
      <c r="G170" s="33">
        <v>824850.18000000017</v>
      </c>
      <c r="H170" s="33">
        <f t="shared" si="36"/>
        <v>8.2382575267654676</v>
      </c>
      <c r="I170" s="33">
        <v>348727.45452000003</v>
      </c>
      <c r="J170" s="33">
        <f t="shared" si="37"/>
        <v>8.1920749270359021</v>
      </c>
      <c r="K170" s="25">
        <v>0</v>
      </c>
      <c r="L170" s="33">
        <f t="shared" si="38"/>
        <v>0</v>
      </c>
      <c r="M170" s="33">
        <v>114473.1</v>
      </c>
      <c r="N170" s="33">
        <f t="shared" si="39"/>
        <v>10.350339607082924</v>
      </c>
      <c r="P170" s="24"/>
      <c r="Q170" s="31"/>
      <c r="R170" s="24"/>
      <c r="S170" s="24"/>
    </row>
    <row r="171" spans="1:19" ht="15.75" x14ac:dyDescent="0.25">
      <c r="A171" s="3"/>
      <c r="B171" s="14"/>
      <c r="C171" s="3"/>
      <c r="D171" s="3">
        <f>SUM(D161:D170)</f>
        <v>10</v>
      </c>
      <c r="E171" s="3">
        <f>SUM(E161:E170)</f>
        <v>43268</v>
      </c>
      <c r="F171" s="17">
        <v>1</v>
      </c>
      <c r="G171" s="21">
        <f>SUM(G161:G170)</f>
        <v>10012435.108000001</v>
      </c>
      <c r="H171" s="17">
        <v>1</v>
      </c>
      <c r="I171" s="21">
        <f>SUM(I161:I170)</f>
        <v>4256887.5731999995</v>
      </c>
      <c r="J171" s="17">
        <v>1</v>
      </c>
      <c r="K171" s="21">
        <f>SUM(K161:K170)</f>
        <v>79170</v>
      </c>
      <c r="L171" s="17">
        <v>1</v>
      </c>
      <c r="M171" s="21">
        <f>SUM(M161:M170)</f>
        <v>1105984.4302000001</v>
      </c>
      <c r="N171" s="17">
        <v>1</v>
      </c>
      <c r="P171" s="28"/>
      <c r="Q171" s="24"/>
      <c r="R171" s="24"/>
      <c r="S171" s="24"/>
    </row>
    <row r="172" spans="1:19" ht="15" customHeight="1" x14ac:dyDescent="0.25">
      <c r="A172" s="62" t="s">
        <v>523</v>
      </c>
      <c r="B172" s="13" t="s">
        <v>168</v>
      </c>
      <c r="C172" s="63" t="s">
        <v>88</v>
      </c>
      <c r="D172" s="25">
        <v>1</v>
      </c>
      <c r="E172" s="33">
        <v>0</v>
      </c>
      <c r="F172" s="33">
        <f>E172/250.6</f>
        <v>0</v>
      </c>
      <c r="G172" s="33">
        <v>1239826.8499999999</v>
      </c>
      <c r="H172" s="33">
        <f>G172/74243.24</f>
        <v>16.699525101544594</v>
      </c>
      <c r="I172" s="33">
        <v>572833.95499999996</v>
      </c>
      <c r="J172" s="33">
        <f>I172/30926.4</f>
        <v>18.522490655233067</v>
      </c>
      <c r="K172" s="33">
        <v>10330</v>
      </c>
      <c r="L172" s="33">
        <f>K172/691.33</f>
        <v>14.942212836127464</v>
      </c>
      <c r="M172" s="33">
        <v>165918.54999999999</v>
      </c>
      <c r="N172" s="33">
        <f>M172/9708.75</f>
        <v>17.089589288013389</v>
      </c>
      <c r="P172" s="24"/>
      <c r="Q172" s="24"/>
      <c r="R172" s="24"/>
      <c r="S172" s="24"/>
    </row>
    <row r="173" spans="1:19" ht="15" customHeight="1" x14ac:dyDescent="0.25">
      <c r="A173" s="62"/>
      <c r="B173" s="13" t="s">
        <v>169</v>
      </c>
      <c r="C173" s="63"/>
      <c r="D173" s="25">
        <v>2</v>
      </c>
      <c r="E173" s="33">
        <v>11720</v>
      </c>
      <c r="F173" s="33">
        <f t="shared" ref="F173:F178" si="40">E173/250.6</f>
        <v>46.767757382282525</v>
      </c>
      <c r="G173" s="33">
        <v>2556560.19</v>
      </c>
      <c r="H173" s="33">
        <f t="shared" ref="H173:H178" si="41">G173/74243.24</f>
        <v>34.434922155875739</v>
      </c>
      <c r="I173" s="33">
        <v>1100221.277</v>
      </c>
      <c r="J173" s="33">
        <f t="shared" ref="J173:J178" si="42">I173/30926.4</f>
        <v>35.575471991567071</v>
      </c>
      <c r="K173" s="33">
        <v>25633</v>
      </c>
      <c r="L173" s="33">
        <f t="shared" ref="L173:L178" si="43">K173/691.33</f>
        <v>37.077806546801092</v>
      </c>
      <c r="M173" s="33">
        <v>299555.37</v>
      </c>
      <c r="N173" s="33">
        <f t="shared" ref="N173:N178" si="44">M173/9708.75</f>
        <v>30.85416454229432</v>
      </c>
      <c r="P173" s="24"/>
      <c r="Q173" s="24"/>
      <c r="R173" s="24"/>
      <c r="S173" s="24"/>
    </row>
    <row r="174" spans="1:19" ht="15" customHeight="1" x14ac:dyDescent="0.25">
      <c r="A174" s="62"/>
      <c r="B174" s="13" t="s">
        <v>170</v>
      </c>
      <c r="C174" s="63"/>
      <c r="D174" s="25">
        <v>1</v>
      </c>
      <c r="E174" s="33">
        <v>1250</v>
      </c>
      <c r="F174" s="33">
        <f t="shared" si="40"/>
        <v>4.9880287310454907</v>
      </c>
      <c r="G174" s="33">
        <v>708646.20750000002</v>
      </c>
      <c r="H174" s="33">
        <f t="shared" si="41"/>
        <v>9.5449256726942409</v>
      </c>
      <c r="I174" s="33">
        <v>252380.72350999998</v>
      </c>
      <c r="J174" s="33">
        <f t="shared" si="42"/>
        <v>8.1606887161130928</v>
      </c>
      <c r="K174" s="33">
        <v>6320</v>
      </c>
      <c r="L174" s="33">
        <f t="shared" si="43"/>
        <v>9.1417991407865991</v>
      </c>
      <c r="M174" s="33">
        <v>123625.21</v>
      </c>
      <c r="N174" s="33">
        <f t="shared" si="44"/>
        <v>12.733380713274109</v>
      </c>
      <c r="P174" s="24"/>
      <c r="Q174" s="24"/>
      <c r="R174" s="24"/>
      <c r="S174" s="24"/>
    </row>
    <row r="175" spans="1:19" ht="15" customHeight="1" x14ac:dyDescent="0.25">
      <c r="A175" s="62"/>
      <c r="B175" s="13" t="s">
        <v>96</v>
      </c>
      <c r="C175" s="63"/>
      <c r="D175" s="25">
        <v>1</v>
      </c>
      <c r="E175" s="33">
        <v>0</v>
      </c>
      <c r="F175" s="33">
        <f t="shared" si="40"/>
        <v>0</v>
      </c>
      <c r="G175" s="33">
        <v>656564.68999999994</v>
      </c>
      <c r="H175" s="33">
        <f t="shared" si="41"/>
        <v>8.8434272265057388</v>
      </c>
      <c r="I175" s="33">
        <v>299941.96051999996</v>
      </c>
      <c r="J175" s="33">
        <f t="shared" si="42"/>
        <v>9.6985734039526079</v>
      </c>
      <c r="K175" s="33">
        <v>19100</v>
      </c>
      <c r="L175" s="33">
        <f t="shared" si="43"/>
        <v>27.627905631174691</v>
      </c>
      <c r="M175" s="33">
        <v>221198.55609999999</v>
      </c>
      <c r="N175" s="33">
        <f t="shared" si="44"/>
        <v>22.783422799021501</v>
      </c>
      <c r="P175" s="24"/>
      <c r="Q175" s="24"/>
      <c r="R175" s="24"/>
      <c r="S175" s="24"/>
    </row>
    <row r="176" spans="1:19" ht="15" customHeight="1" x14ac:dyDescent="0.25">
      <c r="A176" s="62"/>
      <c r="B176" s="13" t="s">
        <v>56</v>
      </c>
      <c r="C176" s="63"/>
      <c r="D176" s="25">
        <v>1</v>
      </c>
      <c r="E176" s="33">
        <v>7090</v>
      </c>
      <c r="F176" s="33">
        <f t="shared" si="40"/>
        <v>28.292098962490023</v>
      </c>
      <c r="G176" s="33">
        <v>874986.78960000002</v>
      </c>
      <c r="H176" s="33">
        <f t="shared" si="41"/>
        <v>11.78540685454999</v>
      </c>
      <c r="I176" s="33">
        <v>318657.84034879995</v>
      </c>
      <c r="J176" s="33">
        <f t="shared" si="42"/>
        <v>10.30374826519737</v>
      </c>
      <c r="K176" s="33">
        <v>0</v>
      </c>
      <c r="L176" s="33">
        <f t="shared" si="43"/>
        <v>0</v>
      </c>
      <c r="M176" s="33">
        <v>0</v>
      </c>
      <c r="N176" s="33">
        <f t="shared" si="44"/>
        <v>0</v>
      </c>
      <c r="P176" s="24"/>
      <c r="Q176" s="24"/>
      <c r="R176" s="24"/>
      <c r="S176" s="24"/>
    </row>
    <row r="177" spans="1:25" ht="15" customHeight="1" x14ac:dyDescent="0.25">
      <c r="A177" s="62"/>
      <c r="B177" s="13" t="s">
        <v>171</v>
      </c>
      <c r="C177" s="63"/>
      <c r="D177" s="25">
        <v>1</v>
      </c>
      <c r="E177" s="33">
        <v>0</v>
      </c>
      <c r="F177" s="33">
        <f t="shared" si="40"/>
        <v>0</v>
      </c>
      <c r="G177" s="33">
        <v>934955.40600000008</v>
      </c>
      <c r="H177" s="33">
        <f t="shared" si="41"/>
        <v>12.593138526820759</v>
      </c>
      <c r="I177" s="33">
        <v>333344.23896799999</v>
      </c>
      <c r="J177" s="33">
        <f t="shared" si="42"/>
        <v>10.778630521754875</v>
      </c>
      <c r="K177" s="33">
        <v>7750</v>
      </c>
      <c r="L177" s="33">
        <f t="shared" si="43"/>
        <v>11.21027584511015</v>
      </c>
      <c r="M177" s="33">
        <v>126904.78</v>
      </c>
      <c r="N177" s="33">
        <f t="shared" si="44"/>
        <v>13.071176001029999</v>
      </c>
      <c r="O177" s="1" t="s">
        <v>2</v>
      </c>
      <c r="P177" s="24"/>
      <c r="Q177" s="24"/>
      <c r="R177" s="24"/>
      <c r="S177" s="24"/>
    </row>
    <row r="178" spans="1:25" ht="15" customHeight="1" x14ac:dyDescent="0.25">
      <c r="A178" s="62"/>
      <c r="B178" s="13" t="s">
        <v>172</v>
      </c>
      <c r="C178" s="63"/>
      <c r="D178" s="25">
        <v>1</v>
      </c>
      <c r="E178" s="33">
        <v>5000</v>
      </c>
      <c r="F178" s="33">
        <f t="shared" si="40"/>
        <v>19.952114924181963</v>
      </c>
      <c r="G178" s="33">
        <v>452783.71908000001</v>
      </c>
      <c r="H178" s="33">
        <f t="shared" si="41"/>
        <v>6.0986524709859102</v>
      </c>
      <c r="I178" s="33">
        <v>215259.6764</v>
      </c>
      <c r="J178" s="33">
        <f t="shared" si="42"/>
        <v>6.9603858321692789</v>
      </c>
      <c r="K178" s="33">
        <v>0</v>
      </c>
      <c r="L178" s="33">
        <f t="shared" si="43"/>
        <v>0</v>
      </c>
      <c r="M178" s="33">
        <v>33673</v>
      </c>
      <c r="N178" s="33">
        <f t="shared" si="44"/>
        <v>3.4683146646066692</v>
      </c>
      <c r="P178" s="24"/>
      <c r="Q178" s="24"/>
      <c r="R178" s="24"/>
      <c r="S178" s="24"/>
    </row>
    <row r="179" spans="1:25" ht="15" customHeight="1" x14ac:dyDescent="0.25">
      <c r="A179" s="40"/>
      <c r="B179" s="14"/>
      <c r="C179" s="9"/>
      <c r="D179" s="3">
        <f>SUM(D172:D178)</f>
        <v>8</v>
      </c>
      <c r="E179" s="21">
        <f>SUM(E172:E178)</f>
        <v>25060</v>
      </c>
      <c r="F179" s="17">
        <v>1</v>
      </c>
      <c r="G179" s="21">
        <f>SUM(G172:G178)</f>
        <v>7424323.8521800004</v>
      </c>
      <c r="H179" s="17">
        <v>1</v>
      </c>
      <c r="I179" s="21">
        <f>SUM(I172:I178)</f>
        <v>3092639.6717467997</v>
      </c>
      <c r="J179" s="17">
        <v>1</v>
      </c>
      <c r="K179" s="21">
        <f>SUM(K172:K178)</f>
        <v>69133</v>
      </c>
      <c r="L179" s="17">
        <v>1</v>
      </c>
      <c r="M179" s="21">
        <f>SUM(M172:M178)</f>
        <v>970875.46610000008</v>
      </c>
      <c r="N179" s="17">
        <v>1</v>
      </c>
      <c r="P179" s="28"/>
      <c r="Q179" s="24"/>
      <c r="R179" s="24"/>
      <c r="S179" s="24"/>
      <c r="T179" s="24"/>
      <c r="U179" s="24"/>
      <c r="V179" s="24"/>
    </row>
    <row r="180" spans="1:25" ht="15" customHeight="1" x14ac:dyDescent="0.25">
      <c r="A180" s="62" t="s">
        <v>173</v>
      </c>
      <c r="B180" s="27" t="s">
        <v>555</v>
      </c>
      <c r="C180" s="63" t="s">
        <v>88</v>
      </c>
      <c r="D180" s="25">
        <v>1</v>
      </c>
      <c r="E180" s="25">
        <v>5077</v>
      </c>
      <c r="F180" s="33">
        <f>E180/159.46</f>
        <v>31.838705631506333</v>
      </c>
      <c r="G180" s="33">
        <v>810822.13</v>
      </c>
      <c r="H180" s="33">
        <f>G180/46641.13</f>
        <v>17.384272851022263</v>
      </c>
      <c r="I180" s="25">
        <v>533587</v>
      </c>
      <c r="J180" s="33">
        <f>I180/27402.81</f>
        <v>19.4719811581367</v>
      </c>
      <c r="K180" s="25">
        <v>3688</v>
      </c>
      <c r="L180" s="33">
        <f>K180/173.88</f>
        <v>21.210029905682081</v>
      </c>
      <c r="M180" s="33">
        <v>129843.2</v>
      </c>
      <c r="N180" s="33">
        <f>M180/6686.47</f>
        <v>19.418796465100417</v>
      </c>
      <c r="P180" s="24"/>
      <c r="Q180" s="24"/>
      <c r="R180" s="31"/>
      <c r="S180" s="24"/>
      <c r="T180" s="31"/>
      <c r="U180" s="31"/>
      <c r="V180" s="31"/>
      <c r="W180" s="24"/>
      <c r="X180" s="24"/>
      <c r="Y180" s="24"/>
    </row>
    <row r="181" spans="1:25" ht="15" customHeight="1" x14ac:dyDescent="0.25">
      <c r="A181" s="62"/>
      <c r="B181" s="27" t="s">
        <v>556</v>
      </c>
      <c r="C181" s="63"/>
      <c r="D181" s="25">
        <v>1</v>
      </c>
      <c r="E181" s="25">
        <v>0</v>
      </c>
      <c r="F181" s="33">
        <f t="shared" ref="F181:F185" si="45">E181/159.46</f>
        <v>0</v>
      </c>
      <c r="G181" s="33">
        <v>485640</v>
      </c>
      <c r="H181" s="33">
        <f t="shared" ref="H181:H185" si="46">G181/46641.13</f>
        <v>10.412269171008507</v>
      </c>
      <c r="I181" s="25">
        <v>0</v>
      </c>
      <c r="J181" s="33">
        <f t="shared" ref="J181:J185" si="47">I181/27402.81</f>
        <v>0</v>
      </c>
      <c r="K181" s="25">
        <v>0</v>
      </c>
      <c r="L181" s="33">
        <f t="shared" ref="L181:L185" si="48">K181/173.88</f>
        <v>0</v>
      </c>
      <c r="M181" s="33">
        <v>0</v>
      </c>
      <c r="N181" s="33">
        <f t="shared" ref="N181:N185" si="49">M181/6686.47</f>
        <v>0</v>
      </c>
      <c r="P181" s="24"/>
      <c r="Q181" s="24"/>
      <c r="R181" s="31"/>
      <c r="S181" s="24"/>
      <c r="T181" s="31"/>
      <c r="U181" s="31"/>
      <c r="V181" s="31"/>
      <c r="W181" s="24"/>
      <c r="X181" s="24"/>
      <c r="Y181" s="24"/>
    </row>
    <row r="182" spans="1:25" x14ac:dyDescent="0.25">
      <c r="A182" s="62"/>
      <c r="B182" s="27" t="s">
        <v>557</v>
      </c>
      <c r="C182" s="63"/>
      <c r="D182" s="25">
        <v>1</v>
      </c>
      <c r="E182" s="25">
        <v>2325</v>
      </c>
      <c r="F182" s="33">
        <f t="shared" si="45"/>
        <v>14.580459049291358</v>
      </c>
      <c r="G182" s="33">
        <v>765559.48</v>
      </c>
      <c r="H182" s="33">
        <f t="shared" si="46"/>
        <v>16.413827881099795</v>
      </c>
      <c r="I182" s="25">
        <v>648440</v>
      </c>
      <c r="J182" s="33">
        <f t="shared" si="47"/>
        <v>23.663266650390963</v>
      </c>
      <c r="K182" s="25">
        <v>0</v>
      </c>
      <c r="L182" s="33">
        <f t="shared" si="48"/>
        <v>0</v>
      </c>
      <c r="M182" s="33">
        <v>111120</v>
      </c>
      <c r="N182" s="33">
        <f t="shared" si="49"/>
        <v>16.618634346673208</v>
      </c>
      <c r="P182" s="24"/>
      <c r="Q182" s="24"/>
      <c r="R182" s="31"/>
      <c r="S182" s="24"/>
      <c r="T182" s="31"/>
      <c r="U182" s="31"/>
      <c r="V182" s="31"/>
      <c r="W182" s="31"/>
      <c r="X182" s="31"/>
      <c r="Y182" s="31"/>
    </row>
    <row r="183" spans="1:25" x14ac:dyDescent="0.25">
      <c r="A183" s="62"/>
      <c r="B183" s="13" t="s">
        <v>559</v>
      </c>
      <c r="C183" s="63"/>
      <c r="D183" s="25">
        <v>1</v>
      </c>
      <c r="E183" s="25">
        <v>0</v>
      </c>
      <c r="F183" s="33">
        <f t="shared" si="45"/>
        <v>0</v>
      </c>
      <c r="G183" s="33">
        <v>1106421.3</v>
      </c>
      <c r="H183" s="33">
        <f t="shared" si="46"/>
        <v>23.722008879287447</v>
      </c>
      <c r="I183" s="25">
        <v>706062.58</v>
      </c>
      <c r="J183" s="33">
        <f t="shared" si="47"/>
        <v>25.766064867070199</v>
      </c>
      <c r="K183" s="25">
        <v>6500</v>
      </c>
      <c r="L183" s="33">
        <f t="shared" si="48"/>
        <v>37.382102599493905</v>
      </c>
      <c r="M183" s="33">
        <v>228540.78000000003</v>
      </c>
      <c r="N183" s="33">
        <f t="shared" si="49"/>
        <v>34.179586538188317</v>
      </c>
      <c r="P183" s="24"/>
      <c r="Q183" s="24"/>
      <c r="R183" s="31"/>
      <c r="S183" s="24"/>
      <c r="T183" s="31"/>
      <c r="U183" s="31"/>
      <c r="V183" s="31"/>
      <c r="W183" s="31"/>
      <c r="X183" s="31"/>
      <c r="Y183" s="31"/>
    </row>
    <row r="184" spans="1:25" x14ac:dyDescent="0.25">
      <c r="A184" s="62"/>
      <c r="B184" s="27" t="s">
        <v>102</v>
      </c>
      <c r="C184" s="63"/>
      <c r="D184" s="25">
        <v>1</v>
      </c>
      <c r="E184" s="25">
        <v>8544</v>
      </c>
      <c r="F184" s="33">
        <f t="shared" si="45"/>
        <v>53.580835319202308</v>
      </c>
      <c r="G184" s="33">
        <v>686215</v>
      </c>
      <c r="H184" s="33">
        <f t="shared" si="46"/>
        <v>14.712658119560997</v>
      </c>
      <c r="I184" s="25">
        <v>344103.2</v>
      </c>
      <c r="J184" s="33">
        <f t="shared" si="47"/>
        <v>12.557223146093412</v>
      </c>
      <c r="K184" s="25">
        <v>0</v>
      </c>
      <c r="L184" s="33">
        <f t="shared" si="48"/>
        <v>0</v>
      </c>
      <c r="M184" s="33">
        <v>20455</v>
      </c>
      <c r="N184" s="33">
        <f t="shared" si="49"/>
        <v>3.0591627570302418</v>
      </c>
      <c r="P184" s="24"/>
      <c r="Q184" s="24"/>
      <c r="R184" s="31"/>
      <c r="S184" s="24"/>
      <c r="T184" s="31"/>
      <c r="U184" s="31"/>
      <c r="V184" s="31"/>
      <c r="W184" s="31"/>
      <c r="X184" s="31"/>
      <c r="Y184" s="31"/>
    </row>
    <row r="185" spans="1:25" x14ac:dyDescent="0.25">
      <c r="A185" s="62"/>
      <c r="B185" s="13" t="s">
        <v>558</v>
      </c>
      <c r="C185" s="63"/>
      <c r="D185" s="25">
        <v>1</v>
      </c>
      <c r="E185" s="25">
        <v>0</v>
      </c>
      <c r="F185" s="33">
        <f t="shared" si="45"/>
        <v>0</v>
      </c>
      <c r="G185" s="33">
        <v>809454.66999999993</v>
      </c>
      <c r="H185" s="33">
        <f t="shared" si="46"/>
        <v>17.354954093093369</v>
      </c>
      <c r="I185" s="25">
        <v>508088</v>
      </c>
      <c r="J185" s="33">
        <f t="shared" si="47"/>
        <v>18.541456149934987</v>
      </c>
      <c r="K185" s="25">
        <v>7200</v>
      </c>
      <c r="L185" s="33">
        <f t="shared" si="48"/>
        <v>41.407867494824018</v>
      </c>
      <c r="M185" s="33">
        <v>178688</v>
      </c>
      <c r="N185" s="33">
        <f t="shared" si="49"/>
        <v>26.723816901892928</v>
      </c>
      <c r="P185" s="24"/>
      <c r="Q185" s="24"/>
      <c r="R185" s="31"/>
      <c r="S185" s="24"/>
      <c r="T185" s="31"/>
      <c r="U185" s="31"/>
      <c r="V185" s="31"/>
      <c r="W185" s="31"/>
      <c r="X185" s="31"/>
      <c r="Y185" s="31"/>
    </row>
    <row r="186" spans="1:25" ht="17.25" customHeight="1" x14ac:dyDescent="0.25">
      <c r="A186" s="42"/>
      <c r="B186" s="14"/>
      <c r="C186" s="3"/>
      <c r="D186" s="3">
        <v>6</v>
      </c>
      <c r="E186" s="21">
        <f>SUM(E180:E185)</f>
        <v>15946</v>
      </c>
      <c r="F186" s="17">
        <v>1</v>
      </c>
      <c r="G186" s="21">
        <f>SUM(G180:G185)</f>
        <v>4664112.58</v>
      </c>
      <c r="H186" s="17">
        <v>1</v>
      </c>
      <c r="I186" s="21">
        <f>SUM(I180:I185)</f>
        <v>2740280.7800000003</v>
      </c>
      <c r="J186" s="17">
        <v>1</v>
      </c>
      <c r="K186" s="21">
        <f>SUM(K180:K185)</f>
        <v>17388</v>
      </c>
      <c r="L186" s="17">
        <v>1</v>
      </c>
      <c r="M186" s="21">
        <f>SUM(M180:M185)</f>
        <v>668646.98</v>
      </c>
      <c r="N186" s="17">
        <v>1</v>
      </c>
      <c r="P186" s="28"/>
      <c r="Q186" s="24"/>
      <c r="R186" s="31"/>
      <c r="S186" s="24"/>
      <c r="T186" s="31"/>
      <c r="U186" s="31"/>
      <c r="V186" s="31"/>
      <c r="W186" s="31"/>
      <c r="X186" s="31"/>
      <c r="Y186" s="31"/>
    </row>
    <row r="187" spans="1:25" ht="15" customHeight="1" x14ac:dyDescent="0.25">
      <c r="A187" s="62" t="s">
        <v>184</v>
      </c>
      <c r="B187" s="13" t="s">
        <v>174</v>
      </c>
      <c r="C187" s="63" t="s">
        <v>88</v>
      </c>
      <c r="D187" s="25">
        <v>3</v>
      </c>
      <c r="E187" s="25">
        <v>16020</v>
      </c>
      <c r="F187" s="33">
        <f>E187/478.78</f>
        <v>33.460044279209662</v>
      </c>
      <c r="G187" s="33">
        <v>2774161.7125000004</v>
      </c>
      <c r="H187" s="33">
        <f>G187/174987.01</f>
        <v>15.853529427698662</v>
      </c>
      <c r="I187" s="33">
        <v>1575150.2</v>
      </c>
      <c r="J187" s="33">
        <f>I187/93578.85</f>
        <v>16.832331237240037</v>
      </c>
      <c r="K187" s="33">
        <v>119600</v>
      </c>
      <c r="L187" s="33">
        <f>K187/3864.75</f>
        <v>30.946374280354487</v>
      </c>
      <c r="M187" s="33">
        <v>826437.60199999996</v>
      </c>
      <c r="N187" s="33">
        <f>M187/48260.68</f>
        <v>17.12445000774958</v>
      </c>
      <c r="P187" s="24"/>
      <c r="Q187" s="31"/>
      <c r="R187" s="31"/>
      <c r="S187" s="31"/>
      <c r="T187" s="31"/>
      <c r="U187" s="31"/>
      <c r="V187" s="31"/>
      <c r="W187" s="31"/>
      <c r="X187" s="31"/>
      <c r="Y187" s="31"/>
    </row>
    <row r="188" spans="1:25" ht="15" customHeight="1" x14ac:dyDescent="0.25">
      <c r="A188" s="62"/>
      <c r="B188" s="13" t="s">
        <v>175</v>
      </c>
      <c r="C188" s="63"/>
      <c r="D188" s="2">
        <v>1</v>
      </c>
      <c r="E188" s="25">
        <v>10000</v>
      </c>
      <c r="F188" s="33">
        <f t="shared" ref="F188:F197" si="50">E188/478.78</f>
        <v>20.886419649943608</v>
      </c>
      <c r="G188" s="25">
        <v>213750</v>
      </c>
      <c r="H188" s="33">
        <f t="shared" ref="H188:H197" si="51">G188/174987.01</f>
        <v>1.2215192430569559</v>
      </c>
      <c r="I188" s="25">
        <v>165126</v>
      </c>
      <c r="J188" s="33">
        <f t="shared" ref="J188:J197" si="52">I188/93578.85</f>
        <v>1.7645653905770373</v>
      </c>
      <c r="K188" s="25">
        <v>0</v>
      </c>
      <c r="L188" s="33">
        <f t="shared" ref="L188:L197" si="53">K188/3864.75</f>
        <v>0</v>
      </c>
      <c r="M188" s="25">
        <v>107325</v>
      </c>
      <c r="N188" s="33">
        <f t="shared" ref="N188:N197" si="54">M188/48260.68</f>
        <v>2.223860086513493</v>
      </c>
      <c r="P188" s="24"/>
      <c r="Q188" s="24"/>
      <c r="R188" s="31"/>
      <c r="S188" s="31"/>
      <c r="T188" s="24"/>
      <c r="U188" s="31"/>
      <c r="V188" s="31"/>
      <c r="W188" s="31"/>
      <c r="X188" s="31"/>
      <c r="Y188" s="31"/>
    </row>
    <row r="189" spans="1:25" ht="15" customHeight="1" x14ac:dyDescent="0.25">
      <c r="A189" s="62"/>
      <c r="B189" s="13" t="s">
        <v>11</v>
      </c>
      <c r="C189" s="63"/>
      <c r="D189" s="2">
        <v>1</v>
      </c>
      <c r="E189" s="25">
        <v>0</v>
      </c>
      <c r="F189" s="33">
        <f t="shared" si="50"/>
        <v>0</v>
      </c>
      <c r="G189" s="33">
        <v>2684707.4156249994</v>
      </c>
      <c r="H189" s="33">
        <f t="shared" si="51"/>
        <v>15.342324070941034</v>
      </c>
      <c r="I189" s="33">
        <v>1574093.196</v>
      </c>
      <c r="J189" s="33">
        <f t="shared" si="52"/>
        <v>16.821035907152094</v>
      </c>
      <c r="K189" s="33">
        <v>49500</v>
      </c>
      <c r="L189" s="33">
        <f t="shared" si="53"/>
        <v>12.808072967203572</v>
      </c>
      <c r="M189" s="33">
        <v>825898.52995999996</v>
      </c>
      <c r="N189" s="33">
        <f t="shared" si="54"/>
        <v>17.113280002685414</v>
      </c>
      <c r="P189" s="24"/>
      <c r="Q189" s="31"/>
      <c r="R189" s="31"/>
      <c r="S189" s="31"/>
      <c r="T189" s="31"/>
      <c r="U189" s="31"/>
      <c r="V189" s="31"/>
      <c r="W189" s="24"/>
      <c r="X189" s="31"/>
      <c r="Y189" s="31"/>
    </row>
    <row r="190" spans="1:25" ht="15" customHeight="1" x14ac:dyDescent="0.25">
      <c r="A190" s="62"/>
      <c r="B190" s="13" t="s">
        <v>176</v>
      </c>
      <c r="C190" s="63"/>
      <c r="D190" s="2">
        <v>1</v>
      </c>
      <c r="E190" s="25">
        <v>0</v>
      </c>
      <c r="F190" s="33">
        <f t="shared" si="50"/>
        <v>0</v>
      </c>
      <c r="G190" s="33">
        <v>3321440.0625</v>
      </c>
      <c r="H190" s="33">
        <f t="shared" si="51"/>
        <v>18.98106643744584</v>
      </c>
      <c r="I190" s="33">
        <v>1721279.3</v>
      </c>
      <c r="J190" s="33">
        <f t="shared" si="52"/>
        <v>18.393892423341384</v>
      </c>
      <c r="K190" s="33">
        <v>80660</v>
      </c>
      <c r="L190" s="33">
        <f t="shared" si="53"/>
        <v>20.87069021282101</v>
      </c>
      <c r="M190" s="33">
        <v>900963.44300000009</v>
      </c>
      <c r="N190" s="33">
        <f t="shared" si="54"/>
        <v>18.668685211232003</v>
      </c>
      <c r="P190" s="24"/>
      <c r="Q190" s="31"/>
      <c r="R190" s="31"/>
      <c r="S190" s="31"/>
      <c r="T190" s="31"/>
      <c r="U190" s="31"/>
      <c r="V190" s="24"/>
      <c r="W190" s="24"/>
      <c r="X190" s="24"/>
      <c r="Y190" s="24"/>
    </row>
    <row r="191" spans="1:25" ht="15" customHeight="1" x14ac:dyDescent="0.25">
      <c r="A191" s="62"/>
      <c r="B191" s="13" t="s">
        <v>177</v>
      </c>
      <c r="C191" s="63"/>
      <c r="D191" s="2">
        <v>1</v>
      </c>
      <c r="E191" s="25">
        <v>0</v>
      </c>
      <c r="F191" s="33">
        <f t="shared" si="50"/>
        <v>0</v>
      </c>
      <c r="G191" s="25">
        <v>195000</v>
      </c>
      <c r="H191" s="33">
        <f t="shared" si="51"/>
        <v>1.1143684322624863</v>
      </c>
      <c r="I191" s="25">
        <v>134160</v>
      </c>
      <c r="J191" s="33">
        <f t="shared" si="52"/>
        <v>1.4336572847390194</v>
      </c>
      <c r="K191" s="25">
        <v>18815</v>
      </c>
      <c r="L191" s="33">
        <f t="shared" si="53"/>
        <v>4.8683614722815189</v>
      </c>
      <c r="M191" s="25">
        <v>91532</v>
      </c>
      <c r="N191" s="33">
        <f t="shared" si="54"/>
        <v>1.896616458781766</v>
      </c>
      <c r="P191" s="24"/>
      <c r="Q191" s="24"/>
      <c r="R191" s="31"/>
      <c r="S191" s="31"/>
      <c r="T191" s="24"/>
      <c r="U191" s="31"/>
    </row>
    <row r="192" spans="1:25" ht="15" customHeight="1" x14ac:dyDescent="0.25">
      <c r="A192" s="62"/>
      <c r="B192" s="13" t="s">
        <v>178</v>
      </c>
      <c r="C192" s="63"/>
      <c r="D192" s="2">
        <v>1</v>
      </c>
      <c r="E192" s="25">
        <v>0</v>
      </c>
      <c r="F192" s="33">
        <f t="shared" si="50"/>
        <v>0</v>
      </c>
      <c r="G192" s="25">
        <v>2688981</v>
      </c>
      <c r="H192" s="33">
        <f t="shared" si="51"/>
        <v>15.36674636591596</v>
      </c>
      <c r="I192" s="25">
        <v>1382724</v>
      </c>
      <c r="J192" s="33">
        <f t="shared" si="52"/>
        <v>14.776031122417084</v>
      </c>
      <c r="K192" s="25">
        <v>0</v>
      </c>
      <c r="L192" s="33">
        <f t="shared" si="53"/>
        <v>0</v>
      </c>
      <c r="M192" s="25">
        <v>728300</v>
      </c>
      <c r="N192" s="33">
        <f t="shared" si="54"/>
        <v>15.09096017710484</v>
      </c>
      <c r="P192" s="24"/>
      <c r="Q192" s="24"/>
      <c r="R192" s="31"/>
      <c r="S192" s="31"/>
      <c r="T192" s="24"/>
      <c r="U192" s="31"/>
    </row>
    <row r="193" spans="1:21" x14ac:dyDescent="0.25">
      <c r="A193" s="62"/>
      <c r="B193" s="13" t="s">
        <v>179</v>
      </c>
      <c r="C193" s="63"/>
      <c r="D193" s="2">
        <v>1</v>
      </c>
      <c r="E193" s="25">
        <v>4800</v>
      </c>
      <c r="F193" s="33">
        <f t="shared" si="50"/>
        <v>10.025481431972931</v>
      </c>
      <c r="G193" s="33">
        <v>1534115.3381249998</v>
      </c>
      <c r="H193" s="33">
        <f t="shared" si="51"/>
        <v>8.7670241243907174</v>
      </c>
      <c r="I193" s="25">
        <v>1079044</v>
      </c>
      <c r="J193" s="33">
        <f t="shared" si="52"/>
        <v>11.530853392620234</v>
      </c>
      <c r="K193" s="25">
        <v>95000</v>
      </c>
      <c r="L193" s="33">
        <f t="shared" si="53"/>
        <v>24.581150139077561</v>
      </c>
      <c r="M193" s="25">
        <v>533289</v>
      </c>
      <c r="N193" s="33">
        <f t="shared" si="54"/>
        <v>11.05017583672671</v>
      </c>
      <c r="P193" s="24"/>
      <c r="Q193" s="24"/>
      <c r="R193" s="31"/>
      <c r="S193" s="31"/>
      <c r="T193" s="24"/>
      <c r="U193" s="31"/>
    </row>
    <row r="194" spans="1:21" x14ac:dyDescent="0.25">
      <c r="A194" s="62"/>
      <c r="B194" s="13" t="s">
        <v>180</v>
      </c>
      <c r="C194" s="63"/>
      <c r="D194" s="2">
        <v>1</v>
      </c>
      <c r="E194" s="25">
        <v>3550</v>
      </c>
      <c r="F194" s="33">
        <f t="shared" si="50"/>
        <v>7.4146789757299807</v>
      </c>
      <c r="G194" s="33">
        <v>1039733.8875000002</v>
      </c>
      <c r="H194" s="33">
        <f t="shared" si="51"/>
        <v>5.9417775496592586</v>
      </c>
      <c r="I194" s="25">
        <v>457078</v>
      </c>
      <c r="J194" s="33">
        <f t="shared" si="52"/>
        <v>4.8844156558880556</v>
      </c>
      <c r="K194" s="25">
        <v>3500</v>
      </c>
      <c r="L194" s="33">
        <f t="shared" si="53"/>
        <v>0.90562132091338376</v>
      </c>
      <c r="M194" s="25">
        <v>216086</v>
      </c>
      <c r="N194" s="33">
        <f t="shared" si="54"/>
        <v>4.4774752448577182</v>
      </c>
      <c r="P194" s="24"/>
      <c r="Q194" s="24"/>
      <c r="R194" s="28"/>
      <c r="S194" s="31"/>
      <c r="T194" s="24"/>
      <c r="U194" s="31"/>
    </row>
    <row r="195" spans="1:21" x14ac:dyDescent="0.25">
      <c r="A195" s="62"/>
      <c r="B195" s="13" t="s">
        <v>181</v>
      </c>
      <c r="C195" s="63"/>
      <c r="D195" s="2">
        <v>1</v>
      </c>
      <c r="E195" s="25">
        <v>0</v>
      </c>
      <c r="F195" s="33">
        <f t="shared" si="50"/>
        <v>0</v>
      </c>
      <c r="G195" s="33">
        <v>1530923.75</v>
      </c>
      <c r="H195" s="33">
        <f t="shared" si="51"/>
        <v>8.7487851241072114</v>
      </c>
      <c r="I195" s="25">
        <v>614745</v>
      </c>
      <c r="J195" s="33">
        <f t="shared" si="52"/>
        <v>6.5692728645415066</v>
      </c>
      <c r="K195" s="25">
        <v>11800</v>
      </c>
      <c r="L195" s="33">
        <f t="shared" si="53"/>
        <v>3.0532375962222655</v>
      </c>
      <c r="M195" s="25">
        <v>296496</v>
      </c>
      <c r="N195" s="33">
        <f t="shared" si="54"/>
        <v>6.1436349425660808</v>
      </c>
      <c r="O195" s="1" t="s">
        <v>2</v>
      </c>
      <c r="P195" s="24"/>
      <c r="Q195" s="24"/>
      <c r="R195" s="31"/>
      <c r="S195" s="31"/>
      <c r="T195" s="24"/>
      <c r="U195" s="31"/>
    </row>
    <row r="196" spans="1:21" x14ac:dyDescent="0.25">
      <c r="A196" s="62"/>
      <c r="B196" s="13" t="s">
        <v>182</v>
      </c>
      <c r="C196" s="63"/>
      <c r="D196" s="2">
        <v>1</v>
      </c>
      <c r="E196" s="25">
        <v>13508</v>
      </c>
      <c r="F196" s="33">
        <f t="shared" si="50"/>
        <v>28.213375663143825</v>
      </c>
      <c r="G196" s="33">
        <v>1399359.7</v>
      </c>
      <c r="H196" s="33">
        <f t="shared" si="51"/>
        <v>7.9969347438989891</v>
      </c>
      <c r="I196" s="25">
        <v>555945</v>
      </c>
      <c r="J196" s="33">
        <f t="shared" si="52"/>
        <v>5.9409257540566056</v>
      </c>
      <c r="K196" s="25">
        <v>7600</v>
      </c>
      <c r="L196" s="33">
        <f t="shared" si="53"/>
        <v>1.9664920111262048</v>
      </c>
      <c r="M196" s="25">
        <v>266508</v>
      </c>
      <c r="N196" s="33">
        <f t="shared" si="54"/>
        <v>5.5222595288752663</v>
      </c>
      <c r="P196" s="24"/>
      <c r="Q196" s="24"/>
      <c r="R196" s="31"/>
      <c r="S196" s="31"/>
      <c r="T196" s="24"/>
      <c r="U196" s="31"/>
    </row>
    <row r="197" spans="1:21" x14ac:dyDescent="0.25">
      <c r="A197" s="62"/>
      <c r="B197" s="13" t="s">
        <v>183</v>
      </c>
      <c r="C197" s="63"/>
      <c r="D197" s="2">
        <v>1</v>
      </c>
      <c r="E197" s="25">
        <v>0</v>
      </c>
      <c r="F197" s="33">
        <f t="shared" si="50"/>
        <v>0</v>
      </c>
      <c r="G197" s="33">
        <v>116527.5</v>
      </c>
      <c r="H197" s="33">
        <f t="shared" si="51"/>
        <v>0.66592085892547104</v>
      </c>
      <c r="I197" s="25">
        <v>98540</v>
      </c>
      <c r="J197" s="33">
        <f t="shared" si="52"/>
        <v>1.0530157188296287</v>
      </c>
      <c r="K197" s="25">
        <v>0</v>
      </c>
      <c r="L197" s="33">
        <f t="shared" si="53"/>
        <v>0</v>
      </c>
      <c r="M197" s="25">
        <v>33232</v>
      </c>
      <c r="N197" s="33">
        <f t="shared" si="54"/>
        <v>0.68859369573739948</v>
      </c>
      <c r="P197" s="24"/>
      <c r="Q197" s="24"/>
      <c r="R197" s="31"/>
      <c r="S197" s="31"/>
      <c r="T197" s="24"/>
      <c r="U197" s="31"/>
    </row>
    <row r="198" spans="1:21" ht="17.25" customHeight="1" x14ac:dyDescent="0.25">
      <c r="A198" s="44"/>
      <c r="B198" s="14"/>
      <c r="C198" s="3"/>
      <c r="D198" s="3">
        <f>SUM(D187:D197)</f>
        <v>13</v>
      </c>
      <c r="E198" s="21">
        <f>SUM(E187:E197)</f>
        <v>47878</v>
      </c>
      <c r="F198" s="17">
        <v>1</v>
      </c>
      <c r="G198" s="21">
        <f>SUM(G187:G197)</f>
        <v>17498700.366250001</v>
      </c>
      <c r="H198" s="17">
        <v>1</v>
      </c>
      <c r="I198" s="21">
        <f>SUM(I187:I197)</f>
        <v>9357884.6959999986</v>
      </c>
      <c r="J198" s="17">
        <v>1</v>
      </c>
      <c r="K198" s="21">
        <f>SUM(K187:K197)</f>
        <v>386475</v>
      </c>
      <c r="L198" s="17">
        <v>1</v>
      </c>
      <c r="M198" s="21">
        <f>SUM(M187:M197)</f>
        <v>4826067.5749599999</v>
      </c>
      <c r="N198" s="17">
        <v>1</v>
      </c>
      <c r="O198" s="35"/>
      <c r="P198" s="28"/>
      <c r="Q198" s="28"/>
      <c r="R198" s="43"/>
      <c r="S198" s="31"/>
      <c r="T198" s="24"/>
      <c r="U198" s="34"/>
    </row>
    <row r="199" spans="1:21" ht="63" x14ac:dyDescent="0.25">
      <c r="A199" s="19" t="s">
        <v>185</v>
      </c>
      <c r="B199" s="13" t="s">
        <v>186</v>
      </c>
      <c r="C199" s="18" t="s">
        <v>88</v>
      </c>
      <c r="D199" s="2">
        <v>1</v>
      </c>
      <c r="E199" s="2">
        <v>11800</v>
      </c>
      <c r="F199" s="25">
        <v>100</v>
      </c>
      <c r="G199" s="2">
        <v>246125</v>
      </c>
      <c r="H199" s="2">
        <v>100</v>
      </c>
      <c r="I199" s="2">
        <v>27060</v>
      </c>
      <c r="J199" s="2">
        <v>100</v>
      </c>
      <c r="K199" s="2">
        <v>0</v>
      </c>
      <c r="L199" s="2">
        <v>100</v>
      </c>
      <c r="M199" s="25">
        <v>0</v>
      </c>
      <c r="N199" s="25">
        <v>100</v>
      </c>
      <c r="P199" s="24"/>
      <c r="Q199" s="28"/>
      <c r="R199" s="24"/>
      <c r="S199" s="24"/>
      <c r="T199" s="24"/>
    </row>
    <row r="200" spans="1:21" ht="15.75" customHeight="1" x14ac:dyDescent="0.25">
      <c r="A200" s="10"/>
      <c r="B200" s="14"/>
      <c r="C200" s="3"/>
      <c r="D200" s="3">
        <v>1</v>
      </c>
      <c r="E200" s="21">
        <v>11800</v>
      </c>
      <c r="F200" s="17">
        <v>1</v>
      </c>
      <c r="G200" s="21">
        <f>SUM(G199)</f>
        <v>246125</v>
      </c>
      <c r="H200" s="17">
        <v>1</v>
      </c>
      <c r="I200" s="21">
        <f>SUM(I199)</f>
        <v>27060</v>
      </c>
      <c r="J200" s="17">
        <v>1</v>
      </c>
      <c r="K200" s="3">
        <f>SUM(K199)</f>
        <v>0</v>
      </c>
      <c r="L200" s="17">
        <v>1</v>
      </c>
      <c r="M200" s="39">
        <v>0</v>
      </c>
      <c r="N200" s="17">
        <v>1</v>
      </c>
      <c r="P200" s="28"/>
      <c r="Q200" s="28"/>
      <c r="R200" s="24"/>
      <c r="S200" s="24"/>
    </row>
    <row r="201" spans="1:21" ht="36.75" customHeight="1" x14ac:dyDescent="0.25">
      <c r="A201" s="64" t="s">
        <v>190</v>
      </c>
      <c r="B201" s="13" t="s">
        <v>187</v>
      </c>
      <c r="C201" s="63" t="s">
        <v>88</v>
      </c>
      <c r="D201" s="2">
        <v>1</v>
      </c>
      <c r="E201" s="2">
        <v>0</v>
      </c>
      <c r="F201" s="2">
        <v>0</v>
      </c>
      <c r="G201" s="2">
        <v>120000</v>
      </c>
      <c r="H201" s="33">
        <f>G201/4300</f>
        <v>27.906976744186046</v>
      </c>
      <c r="I201" s="2">
        <v>20000</v>
      </c>
      <c r="J201" s="33">
        <f>I201/573.8</f>
        <v>34.85535029627048</v>
      </c>
      <c r="K201" s="2">
        <v>0</v>
      </c>
      <c r="L201" s="2">
        <v>0</v>
      </c>
      <c r="M201" s="25">
        <v>0</v>
      </c>
      <c r="N201" s="25">
        <v>0</v>
      </c>
      <c r="P201" s="24"/>
      <c r="Q201" s="24"/>
      <c r="R201" s="24"/>
      <c r="S201" s="24"/>
    </row>
    <row r="202" spans="1:21" x14ac:dyDescent="0.25">
      <c r="A202" s="64"/>
      <c r="B202" s="13" t="s">
        <v>188</v>
      </c>
      <c r="C202" s="63"/>
      <c r="D202" s="2">
        <v>1</v>
      </c>
      <c r="E202" s="2">
        <v>0</v>
      </c>
      <c r="F202" s="2">
        <v>0</v>
      </c>
      <c r="G202" s="2">
        <v>185000</v>
      </c>
      <c r="H202" s="33">
        <f t="shared" ref="H202:H203" si="55">G202/4300</f>
        <v>43.02325581395349</v>
      </c>
      <c r="I202" s="2">
        <v>19500</v>
      </c>
      <c r="J202" s="33">
        <f t="shared" ref="J202:J203" si="56">I202/573.8</f>
        <v>33.983966538863719</v>
      </c>
      <c r="K202" s="2">
        <v>0</v>
      </c>
      <c r="L202" s="2">
        <v>0</v>
      </c>
      <c r="M202" s="25">
        <v>0</v>
      </c>
      <c r="N202" s="25">
        <v>0</v>
      </c>
      <c r="P202" s="24"/>
      <c r="Q202" s="24"/>
      <c r="R202" s="24"/>
      <c r="S202" s="24"/>
    </row>
    <row r="203" spans="1:21" x14ac:dyDescent="0.25">
      <c r="A203" s="64"/>
      <c r="B203" s="13" t="s">
        <v>189</v>
      </c>
      <c r="C203" s="63"/>
      <c r="D203" s="2">
        <v>1</v>
      </c>
      <c r="E203" s="2">
        <v>0</v>
      </c>
      <c r="F203" s="2">
        <v>0</v>
      </c>
      <c r="G203" s="2">
        <v>125000</v>
      </c>
      <c r="H203" s="33">
        <f t="shared" si="55"/>
        <v>29.069767441860463</v>
      </c>
      <c r="I203" s="2">
        <v>17880</v>
      </c>
      <c r="J203" s="33">
        <f t="shared" si="56"/>
        <v>31.160683164865809</v>
      </c>
      <c r="K203" s="2">
        <v>0</v>
      </c>
      <c r="L203" s="2">
        <v>0</v>
      </c>
      <c r="M203" s="25">
        <v>0</v>
      </c>
      <c r="N203" s="25">
        <v>0</v>
      </c>
      <c r="P203" s="24"/>
      <c r="Q203" s="24"/>
      <c r="R203" s="24"/>
      <c r="S203" s="24"/>
    </row>
    <row r="204" spans="1:21" ht="15.75" x14ac:dyDescent="0.25">
      <c r="A204" s="3"/>
      <c r="B204" s="14"/>
      <c r="C204" s="3"/>
      <c r="D204" s="3">
        <v>3</v>
      </c>
      <c r="E204" s="3">
        <v>0</v>
      </c>
      <c r="F204" s="17">
        <v>1</v>
      </c>
      <c r="G204" s="21">
        <f>SUM(G201:G203)</f>
        <v>430000</v>
      </c>
      <c r="H204" s="17">
        <v>1</v>
      </c>
      <c r="I204" s="21">
        <f>SUM(I201:I203)</f>
        <v>57380</v>
      </c>
      <c r="J204" s="17">
        <v>1</v>
      </c>
      <c r="K204" s="3">
        <f>SUM(K201:K203)</f>
        <v>0</v>
      </c>
      <c r="L204" s="17">
        <v>1</v>
      </c>
      <c r="M204" s="3">
        <f>SUM(M199:M203)</f>
        <v>0</v>
      </c>
      <c r="N204" s="17">
        <v>1</v>
      </c>
      <c r="P204" s="28"/>
      <c r="Q204" s="24"/>
      <c r="R204" s="24"/>
      <c r="S204" s="24"/>
    </row>
    <row r="205" spans="1:21" ht="34.5" customHeight="1" x14ac:dyDescent="0.25">
      <c r="A205" s="64" t="s">
        <v>191</v>
      </c>
      <c r="B205" s="13" t="s">
        <v>192</v>
      </c>
      <c r="C205" s="67" t="s">
        <v>88</v>
      </c>
      <c r="D205" s="2">
        <v>1</v>
      </c>
      <c r="E205" s="2">
        <v>0</v>
      </c>
      <c r="F205" s="2">
        <v>0</v>
      </c>
      <c r="G205" s="2">
        <v>183600</v>
      </c>
      <c r="H205" s="33">
        <f>G205/3063</f>
        <v>59.941234084231148</v>
      </c>
      <c r="I205" s="2">
        <v>0</v>
      </c>
      <c r="J205" s="2">
        <v>0</v>
      </c>
      <c r="K205" s="2">
        <v>0</v>
      </c>
      <c r="L205" s="2">
        <v>0</v>
      </c>
      <c r="M205" s="25">
        <v>0</v>
      </c>
      <c r="N205" s="25">
        <v>0</v>
      </c>
      <c r="P205" s="24"/>
      <c r="Q205" s="24"/>
      <c r="R205" s="24"/>
      <c r="S205" s="24"/>
    </row>
    <row r="206" spans="1:21" ht="29.25" customHeight="1" x14ac:dyDescent="0.25">
      <c r="A206" s="64"/>
      <c r="B206" s="13" t="s">
        <v>193</v>
      </c>
      <c r="C206" s="67"/>
      <c r="D206" s="2">
        <v>1</v>
      </c>
      <c r="E206" s="2">
        <v>0</v>
      </c>
      <c r="F206" s="2">
        <v>0</v>
      </c>
      <c r="G206" s="2">
        <v>122700</v>
      </c>
      <c r="H206" s="33">
        <f>G206/3063</f>
        <v>40.058765915768852</v>
      </c>
      <c r="I206" s="2">
        <v>0</v>
      </c>
      <c r="J206" s="2">
        <v>0</v>
      </c>
      <c r="K206" s="2">
        <v>0</v>
      </c>
      <c r="L206" s="2">
        <v>0</v>
      </c>
      <c r="M206" s="25">
        <v>0</v>
      </c>
      <c r="N206" s="25">
        <v>0</v>
      </c>
      <c r="P206" s="24"/>
      <c r="Q206" s="24"/>
      <c r="R206" s="24"/>
      <c r="S206" s="24"/>
    </row>
    <row r="207" spans="1:21" ht="15" customHeight="1" x14ac:dyDescent="0.25">
      <c r="A207" s="11"/>
      <c r="B207" s="14"/>
      <c r="C207" s="3"/>
      <c r="D207" s="3">
        <v>2</v>
      </c>
      <c r="E207" s="3">
        <v>0</v>
      </c>
      <c r="F207" s="17">
        <v>1</v>
      </c>
      <c r="G207" s="21">
        <f>SUM(G205:G206)</f>
        <v>306300</v>
      </c>
      <c r="H207" s="17">
        <v>1</v>
      </c>
      <c r="I207" s="3">
        <f>SUM(I205:I206)</f>
        <v>0</v>
      </c>
      <c r="J207" s="17">
        <v>1</v>
      </c>
      <c r="K207" s="3">
        <f>SUM(K205:K206)</f>
        <v>0</v>
      </c>
      <c r="L207" s="17">
        <v>1</v>
      </c>
      <c r="M207" s="3">
        <f>SUM(M205:M206)</f>
        <v>0</v>
      </c>
      <c r="N207" s="17">
        <v>1</v>
      </c>
      <c r="P207" s="28"/>
      <c r="Q207" s="24"/>
      <c r="R207" s="24"/>
      <c r="S207" s="24"/>
    </row>
    <row r="208" spans="1:21" ht="15" customHeight="1" x14ac:dyDescent="0.25">
      <c r="A208" s="62" t="s">
        <v>213</v>
      </c>
      <c r="B208" s="13" t="s">
        <v>194</v>
      </c>
      <c r="C208" s="63" t="s">
        <v>88</v>
      </c>
      <c r="D208" s="2">
        <v>1</v>
      </c>
      <c r="E208" s="2">
        <v>0</v>
      </c>
      <c r="F208" s="33">
        <f>E208/258.23</f>
        <v>0</v>
      </c>
      <c r="G208" s="2">
        <v>170000</v>
      </c>
      <c r="H208" s="33">
        <f>G208/20526.07</f>
        <v>8.282150455493916</v>
      </c>
      <c r="I208" s="2">
        <v>29000</v>
      </c>
      <c r="J208" s="33">
        <f>I208/7529.46</f>
        <v>3.8515378260858015</v>
      </c>
      <c r="K208" s="2">
        <v>0</v>
      </c>
      <c r="L208" s="25">
        <v>0</v>
      </c>
      <c r="M208" s="25">
        <v>0</v>
      </c>
      <c r="N208" s="33">
        <f>M208/2408.17</f>
        <v>0</v>
      </c>
      <c r="P208" s="24"/>
      <c r="Q208" s="24"/>
      <c r="R208" s="24"/>
      <c r="S208" s="24"/>
    </row>
    <row r="209" spans="1:19" ht="15" customHeight="1" x14ac:dyDescent="0.25">
      <c r="A209" s="62"/>
      <c r="B209" s="13" t="s">
        <v>195</v>
      </c>
      <c r="C209" s="63"/>
      <c r="D209" s="2">
        <v>1</v>
      </c>
      <c r="E209" s="2">
        <v>0</v>
      </c>
      <c r="F209" s="33">
        <f t="shared" ref="F209:F228" si="57">E209/258.23</f>
        <v>0</v>
      </c>
      <c r="G209" s="2">
        <v>180700</v>
      </c>
      <c r="H209" s="33">
        <f t="shared" ref="H209:H228" si="58">G209/20526.07</f>
        <v>8.8034387488691213</v>
      </c>
      <c r="I209" s="2">
        <v>36000</v>
      </c>
      <c r="J209" s="33">
        <f t="shared" ref="J209:J228" si="59">I209/7529.46</f>
        <v>4.7812193703134085</v>
      </c>
      <c r="K209" s="2">
        <v>0</v>
      </c>
      <c r="L209" s="25">
        <v>0</v>
      </c>
      <c r="M209" s="25">
        <v>17500</v>
      </c>
      <c r="N209" s="33">
        <f t="shared" ref="N209:N228" si="60">M209/2408.17</f>
        <v>7.2669288297753063</v>
      </c>
      <c r="P209" s="24"/>
      <c r="Q209" s="24"/>
      <c r="R209" s="24"/>
      <c r="S209" s="24"/>
    </row>
    <row r="210" spans="1:19" ht="15" customHeight="1" x14ac:dyDescent="0.25">
      <c r="A210" s="62"/>
      <c r="B210" s="13" t="s">
        <v>196</v>
      </c>
      <c r="C210" s="63"/>
      <c r="D210" s="2">
        <v>1</v>
      </c>
      <c r="E210" s="2">
        <v>0</v>
      </c>
      <c r="F210" s="33">
        <f t="shared" si="57"/>
        <v>0</v>
      </c>
      <c r="G210" s="2">
        <v>72000</v>
      </c>
      <c r="H210" s="33">
        <f t="shared" si="58"/>
        <v>3.507734310562129</v>
      </c>
      <c r="I210" s="2">
        <v>0</v>
      </c>
      <c r="J210" s="33">
        <f t="shared" si="59"/>
        <v>0</v>
      </c>
      <c r="K210" s="2">
        <v>0</v>
      </c>
      <c r="L210" s="25">
        <v>0</v>
      </c>
      <c r="M210" s="25">
        <v>0</v>
      </c>
      <c r="N210" s="33">
        <f t="shared" si="60"/>
        <v>0</v>
      </c>
      <c r="P210" s="24"/>
      <c r="Q210" s="24"/>
      <c r="R210" s="24"/>
      <c r="S210" s="24"/>
    </row>
    <row r="211" spans="1:19" ht="15" customHeight="1" x14ac:dyDescent="0.25">
      <c r="A211" s="62"/>
      <c r="B211" s="13" t="s">
        <v>198</v>
      </c>
      <c r="C211" s="63"/>
      <c r="D211" s="2">
        <v>1</v>
      </c>
      <c r="E211" s="2">
        <v>0</v>
      </c>
      <c r="F211" s="33">
        <f t="shared" si="57"/>
        <v>0</v>
      </c>
      <c r="G211" s="2">
        <v>0</v>
      </c>
      <c r="H211" s="33">
        <f t="shared" si="58"/>
        <v>0</v>
      </c>
      <c r="I211" s="33">
        <v>0</v>
      </c>
      <c r="J211" s="33">
        <f t="shared" si="59"/>
        <v>0</v>
      </c>
      <c r="K211" s="2">
        <v>0</v>
      </c>
      <c r="L211" s="25">
        <v>0</v>
      </c>
      <c r="M211" s="25">
        <v>0</v>
      </c>
      <c r="N211" s="33">
        <f t="shared" si="60"/>
        <v>0</v>
      </c>
      <c r="P211" s="24"/>
      <c r="Q211" s="24"/>
      <c r="R211" s="24"/>
      <c r="S211" s="24"/>
    </row>
    <row r="212" spans="1:19" ht="15" customHeight="1" x14ac:dyDescent="0.25">
      <c r="A212" s="62"/>
      <c r="B212" s="13" t="s">
        <v>197</v>
      </c>
      <c r="C212" s="63"/>
      <c r="D212" s="2">
        <v>1</v>
      </c>
      <c r="E212" s="2">
        <v>0</v>
      </c>
      <c r="F212" s="33">
        <f t="shared" si="57"/>
        <v>0</v>
      </c>
      <c r="G212" s="25">
        <v>110400</v>
      </c>
      <c r="H212" s="33">
        <f t="shared" si="58"/>
        <v>5.3785259428619314</v>
      </c>
      <c r="I212" s="33">
        <v>51888</v>
      </c>
      <c r="J212" s="33">
        <f t="shared" si="59"/>
        <v>6.8913308524117269</v>
      </c>
      <c r="K212" s="2">
        <v>0</v>
      </c>
      <c r="L212" s="25">
        <v>0</v>
      </c>
      <c r="M212" s="25">
        <v>21036</v>
      </c>
      <c r="N212" s="33">
        <f t="shared" si="60"/>
        <v>8.735263706465906</v>
      </c>
      <c r="P212" s="24"/>
      <c r="Q212" s="24"/>
      <c r="R212" s="24"/>
      <c r="S212" s="24"/>
    </row>
    <row r="213" spans="1:19" ht="15" customHeight="1" x14ac:dyDescent="0.25">
      <c r="A213" s="62"/>
      <c r="B213" s="13" t="s">
        <v>199</v>
      </c>
      <c r="C213" s="63"/>
      <c r="D213" s="2">
        <v>1</v>
      </c>
      <c r="E213" s="2">
        <v>10333</v>
      </c>
      <c r="F213" s="33">
        <f t="shared" si="57"/>
        <v>40.014715563644813</v>
      </c>
      <c r="G213" s="25">
        <v>180100</v>
      </c>
      <c r="H213" s="33">
        <f t="shared" si="58"/>
        <v>8.7742076296144376</v>
      </c>
      <c r="I213" s="33">
        <v>84647</v>
      </c>
      <c r="J213" s="33">
        <f t="shared" si="59"/>
        <v>11.242107667747753</v>
      </c>
      <c r="K213" s="2">
        <v>0</v>
      </c>
      <c r="L213" s="25">
        <v>0</v>
      </c>
      <c r="M213" s="25">
        <v>41023</v>
      </c>
      <c r="N213" s="33">
        <f t="shared" si="60"/>
        <v>17.034926936221279</v>
      </c>
      <c r="P213" s="24"/>
      <c r="Q213" s="24"/>
      <c r="R213" s="24"/>
      <c r="S213" s="24"/>
    </row>
    <row r="214" spans="1:19" ht="15" customHeight="1" x14ac:dyDescent="0.25">
      <c r="A214" s="62"/>
      <c r="B214" s="13" t="s">
        <v>200</v>
      </c>
      <c r="C214" s="63"/>
      <c r="D214" s="2">
        <v>1</v>
      </c>
      <c r="E214" s="2">
        <v>0</v>
      </c>
      <c r="F214" s="33">
        <f t="shared" si="57"/>
        <v>0</v>
      </c>
      <c r="G214" s="2">
        <v>10999</v>
      </c>
      <c r="H214" s="33">
        <f t="shared" si="58"/>
        <v>0.53585513447045641</v>
      </c>
      <c r="I214" s="33">
        <v>0</v>
      </c>
      <c r="J214" s="33">
        <f t="shared" si="59"/>
        <v>0</v>
      </c>
      <c r="K214" s="2">
        <v>0</v>
      </c>
      <c r="L214" s="25">
        <v>0</v>
      </c>
      <c r="M214" s="25">
        <v>0</v>
      </c>
      <c r="N214" s="33">
        <f t="shared" si="60"/>
        <v>0</v>
      </c>
      <c r="P214" s="24"/>
      <c r="Q214" s="24"/>
      <c r="R214" s="24"/>
      <c r="S214" s="24"/>
    </row>
    <row r="215" spans="1:19" ht="15" customHeight="1" x14ac:dyDescent="0.25">
      <c r="A215" s="62"/>
      <c r="B215" s="13" t="s">
        <v>201</v>
      </c>
      <c r="C215" s="63"/>
      <c r="D215" s="2">
        <v>1</v>
      </c>
      <c r="E215" s="2">
        <v>0</v>
      </c>
      <c r="F215" s="33">
        <f t="shared" si="57"/>
        <v>0</v>
      </c>
      <c r="G215" s="25">
        <v>70500</v>
      </c>
      <c r="H215" s="33">
        <f t="shared" si="58"/>
        <v>3.434656512425418</v>
      </c>
      <c r="I215" s="33">
        <v>5066</v>
      </c>
      <c r="J215" s="33">
        <f t="shared" si="59"/>
        <v>0.67282381472243691</v>
      </c>
      <c r="K215" s="2">
        <v>0</v>
      </c>
      <c r="L215" s="25">
        <v>0</v>
      </c>
      <c r="M215" s="25">
        <v>0</v>
      </c>
      <c r="N215" s="33">
        <f t="shared" si="60"/>
        <v>0</v>
      </c>
      <c r="P215" s="24"/>
      <c r="Q215" s="24"/>
      <c r="R215" s="24"/>
      <c r="S215" s="24"/>
    </row>
    <row r="216" spans="1:19" ht="15" customHeight="1" x14ac:dyDescent="0.25">
      <c r="A216" s="62"/>
      <c r="B216" s="13" t="s">
        <v>202</v>
      </c>
      <c r="C216" s="63"/>
      <c r="D216" s="2">
        <v>1</v>
      </c>
      <c r="E216" s="2">
        <v>3600</v>
      </c>
      <c r="F216" s="33">
        <f t="shared" si="57"/>
        <v>13.941060295085775</v>
      </c>
      <c r="G216" s="25">
        <v>147070</v>
      </c>
      <c r="H216" s="33">
        <f t="shared" si="58"/>
        <v>7.1650345146440602</v>
      </c>
      <c r="I216" s="33">
        <v>69122.899999999994</v>
      </c>
      <c r="J216" s="33">
        <f t="shared" si="59"/>
        <v>9.1803263447843531</v>
      </c>
      <c r="K216" s="2">
        <v>0</v>
      </c>
      <c r="L216" s="25">
        <v>0</v>
      </c>
      <c r="M216" s="25">
        <v>0</v>
      </c>
      <c r="N216" s="33">
        <f t="shared" si="60"/>
        <v>0</v>
      </c>
      <c r="P216" s="24"/>
      <c r="Q216" s="24"/>
      <c r="R216" s="24"/>
      <c r="S216" s="24"/>
    </row>
    <row r="217" spans="1:19" x14ac:dyDescent="0.25">
      <c r="A217" s="62"/>
      <c r="B217" s="13" t="s">
        <v>203</v>
      </c>
      <c r="C217" s="63"/>
      <c r="D217" s="2">
        <v>1</v>
      </c>
      <c r="E217" s="2">
        <v>0</v>
      </c>
      <c r="F217" s="33">
        <f t="shared" si="57"/>
        <v>0</v>
      </c>
      <c r="G217" s="2">
        <v>225622</v>
      </c>
      <c r="H217" s="33">
        <f t="shared" si="58"/>
        <v>10.991972647467342</v>
      </c>
      <c r="I217" s="33">
        <v>96042.34</v>
      </c>
      <c r="J217" s="33">
        <f t="shared" si="59"/>
        <v>12.755541566061842</v>
      </c>
      <c r="K217" s="2">
        <v>0</v>
      </c>
      <c r="L217" s="25">
        <v>0</v>
      </c>
      <c r="M217" s="25">
        <v>78090</v>
      </c>
      <c r="N217" s="33">
        <f t="shared" si="60"/>
        <v>32.427112703837352</v>
      </c>
      <c r="P217" s="24"/>
      <c r="Q217" s="24"/>
      <c r="R217" s="24"/>
      <c r="S217" s="24"/>
    </row>
    <row r="218" spans="1:19" x14ac:dyDescent="0.25">
      <c r="A218" s="62"/>
      <c r="B218" s="13" t="s">
        <v>204</v>
      </c>
      <c r="C218" s="63"/>
      <c r="D218" s="2">
        <v>1</v>
      </c>
      <c r="E218" s="2">
        <v>0</v>
      </c>
      <c r="F218" s="33">
        <f t="shared" si="57"/>
        <v>0</v>
      </c>
      <c r="G218" s="2">
        <v>0</v>
      </c>
      <c r="H218" s="33">
        <f t="shared" si="58"/>
        <v>0</v>
      </c>
      <c r="I218" s="33">
        <v>15560</v>
      </c>
      <c r="J218" s="33">
        <f t="shared" si="59"/>
        <v>2.0665492611687957</v>
      </c>
      <c r="K218" s="2">
        <v>0</v>
      </c>
      <c r="L218" s="25">
        <v>0</v>
      </c>
      <c r="M218" s="25">
        <v>0</v>
      </c>
      <c r="N218" s="33">
        <f t="shared" si="60"/>
        <v>0</v>
      </c>
      <c r="P218" s="24"/>
      <c r="Q218" s="24"/>
      <c r="R218" s="24"/>
      <c r="S218" s="24"/>
    </row>
    <row r="219" spans="1:19" x14ac:dyDescent="0.25">
      <c r="A219" s="62"/>
      <c r="B219" s="13" t="s">
        <v>205</v>
      </c>
      <c r="C219" s="63"/>
      <c r="D219" s="2">
        <v>1</v>
      </c>
      <c r="E219" s="2">
        <v>0</v>
      </c>
      <c r="F219" s="33">
        <f t="shared" si="57"/>
        <v>0</v>
      </c>
      <c r="G219" s="25">
        <v>10000</v>
      </c>
      <c r="H219" s="33">
        <f t="shared" si="58"/>
        <v>0.48718532091140682</v>
      </c>
      <c r="I219" s="33">
        <v>0</v>
      </c>
      <c r="J219" s="33">
        <f t="shared" si="59"/>
        <v>0</v>
      </c>
      <c r="K219" s="2">
        <v>0</v>
      </c>
      <c r="L219" s="25">
        <v>0</v>
      </c>
      <c r="M219" s="25">
        <v>0</v>
      </c>
      <c r="N219" s="33">
        <f t="shared" si="60"/>
        <v>0</v>
      </c>
      <c r="P219" s="24"/>
      <c r="Q219" s="24"/>
      <c r="R219" s="24"/>
      <c r="S219" s="24"/>
    </row>
    <row r="220" spans="1:19" x14ac:dyDescent="0.25">
      <c r="A220" s="62"/>
      <c r="B220" s="13" t="s">
        <v>206</v>
      </c>
      <c r="C220" s="63"/>
      <c r="D220" s="2">
        <v>1</v>
      </c>
      <c r="E220" s="2">
        <v>0</v>
      </c>
      <c r="F220" s="33">
        <f t="shared" si="57"/>
        <v>0</v>
      </c>
      <c r="G220" s="25">
        <v>163050</v>
      </c>
      <c r="H220" s="33">
        <f t="shared" si="58"/>
        <v>7.9435566574604879</v>
      </c>
      <c r="I220" s="33">
        <v>57067.5</v>
      </c>
      <c r="J220" s="33">
        <f t="shared" si="59"/>
        <v>7.5792287893155681</v>
      </c>
      <c r="K220" s="2">
        <v>0</v>
      </c>
      <c r="L220" s="25">
        <v>0</v>
      </c>
      <c r="M220" s="25">
        <v>0</v>
      </c>
      <c r="N220" s="33">
        <f t="shared" si="60"/>
        <v>0</v>
      </c>
      <c r="P220" s="24"/>
      <c r="Q220" s="24"/>
      <c r="R220" s="24"/>
      <c r="S220" s="24"/>
    </row>
    <row r="221" spans="1:19" x14ac:dyDescent="0.25">
      <c r="A221" s="62"/>
      <c r="B221" s="13" t="s">
        <v>207</v>
      </c>
      <c r="C221" s="63"/>
      <c r="D221" s="2">
        <v>1</v>
      </c>
      <c r="E221" s="2">
        <v>4880</v>
      </c>
      <c r="F221" s="33">
        <f t="shared" si="57"/>
        <v>18.897881733338494</v>
      </c>
      <c r="G221" s="2">
        <v>199036</v>
      </c>
      <c r="H221" s="33">
        <f t="shared" si="58"/>
        <v>9.6967417532922759</v>
      </c>
      <c r="I221" s="33">
        <v>69662.599999999991</v>
      </c>
      <c r="J221" s="33">
        <f t="shared" si="59"/>
        <v>9.2520047918443016</v>
      </c>
      <c r="K221" s="2">
        <v>0</v>
      </c>
      <c r="L221" s="25">
        <v>0</v>
      </c>
      <c r="M221" s="25">
        <v>35600</v>
      </c>
      <c r="N221" s="33">
        <f t="shared" si="60"/>
        <v>14.783009505142909</v>
      </c>
      <c r="P221" s="24"/>
      <c r="Q221" s="24"/>
      <c r="R221" s="24"/>
      <c r="S221" s="24"/>
    </row>
    <row r="222" spans="1:19" x14ac:dyDescent="0.25">
      <c r="A222" s="62"/>
      <c r="B222" s="13" t="s">
        <v>208</v>
      </c>
      <c r="C222" s="63"/>
      <c r="D222" s="2">
        <v>1</v>
      </c>
      <c r="E222" s="2">
        <v>0</v>
      </c>
      <c r="F222" s="33">
        <f t="shared" si="57"/>
        <v>0</v>
      </c>
      <c r="G222" s="2">
        <v>25600</v>
      </c>
      <c r="H222" s="33">
        <f t="shared" si="58"/>
        <v>1.2471944215332014</v>
      </c>
      <c r="I222" s="33">
        <v>0</v>
      </c>
      <c r="J222" s="33">
        <f t="shared" si="59"/>
        <v>0</v>
      </c>
      <c r="K222" s="2">
        <v>0</v>
      </c>
      <c r="L222" s="25">
        <v>0</v>
      </c>
      <c r="M222" s="25">
        <v>0</v>
      </c>
      <c r="N222" s="33">
        <f t="shared" si="60"/>
        <v>0</v>
      </c>
      <c r="P222" s="24"/>
      <c r="Q222" s="24"/>
      <c r="R222" s="24"/>
      <c r="S222" s="24"/>
    </row>
    <row r="223" spans="1:19" x14ac:dyDescent="0.25">
      <c r="A223" s="62"/>
      <c r="B223" s="13" t="s">
        <v>209</v>
      </c>
      <c r="C223" s="63"/>
      <c r="D223" s="2">
        <v>1</v>
      </c>
      <c r="E223" s="2">
        <v>0</v>
      </c>
      <c r="F223" s="33">
        <f t="shared" si="57"/>
        <v>0</v>
      </c>
      <c r="G223" s="2">
        <v>70080</v>
      </c>
      <c r="H223" s="33">
        <f t="shared" si="58"/>
        <v>3.4141947289471388</v>
      </c>
      <c r="I223" s="33">
        <v>34339.199999999997</v>
      </c>
      <c r="J223" s="33">
        <f t="shared" si="59"/>
        <v>4.5606457833629497</v>
      </c>
      <c r="K223" s="2">
        <v>0</v>
      </c>
      <c r="L223" s="25">
        <v>0</v>
      </c>
      <c r="M223" s="25">
        <v>21005</v>
      </c>
      <c r="N223" s="33">
        <f t="shared" si="60"/>
        <v>8.7223908611103038</v>
      </c>
      <c r="P223" s="24"/>
      <c r="Q223" s="24"/>
      <c r="R223" s="24"/>
      <c r="S223" s="24"/>
    </row>
    <row r="224" spans="1:19" x14ac:dyDescent="0.25">
      <c r="A224" s="62"/>
      <c r="B224" s="13" t="s">
        <v>170</v>
      </c>
      <c r="C224" s="63"/>
      <c r="D224" s="2">
        <v>1</v>
      </c>
      <c r="E224" s="2">
        <v>0</v>
      </c>
      <c r="F224" s="33">
        <f t="shared" si="57"/>
        <v>0</v>
      </c>
      <c r="G224" s="2">
        <v>123000</v>
      </c>
      <c r="H224" s="33">
        <f t="shared" si="58"/>
        <v>5.992379447210304</v>
      </c>
      <c r="I224" s="33">
        <v>60270</v>
      </c>
      <c r="J224" s="33">
        <f t="shared" si="59"/>
        <v>8.0045580957996982</v>
      </c>
      <c r="K224" s="2">
        <v>0</v>
      </c>
      <c r="L224" s="25">
        <v>0</v>
      </c>
      <c r="M224" s="25">
        <v>0</v>
      </c>
      <c r="N224" s="33">
        <f t="shared" si="60"/>
        <v>0</v>
      </c>
      <c r="P224" s="24"/>
      <c r="Q224" s="24"/>
      <c r="R224" s="24"/>
      <c r="S224" s="24"/>
    </row>
    <row r="225" spans="1:19" x14ac:dyDescent="0.25">
      <c r="A225" s="62"/>
      <c r="B225" s="13" t="s">
        <v>21</v>
      </c>
      <c r="C225" s="63"/>
      <c r="D225" s="2">
        <v>1</v>
      </c>
      <c r="E225" s="2">
        <v>0</v>
      </c>
      <c r="F225" s="33">
        <f t="shared" si="57"/>
        <v>0</v>
      </c>
      <c r="G225" s="2">
        <v>36900</v>
      </c>
      <c r="H225" s="33">
        <f t="shared" si="58"/>
        <v>1.7977138341630912</v>
      </c>
      <c r="I225" s="33">
        <v>18081</v>
      </c>
      <c r="J225" s="33">
        <f t="shared" si="59"/>
        <v>2.4013674287399098</v>
      </c>
      <c r="K225" s="2">
        <v>0</v>
      </c>
      <c r="L225" s="25">
        <v>0</v>
      </c>
      <c r="M225" s="25">
        <v>0</v>
      </c>
      <c r="N225" s="33">
        <f t="shared" si="60"/>
        <v>0</v>
      </c>
      <c r="P225" s="24"/>
      <c r="Q225" s="24"/>
      <c r="R225" s="24"/>
      <c r="S225" s="24"/>
    </row>
    <row r="226" spans="1:19" x14ac:dyDescent="0.25">
      <c r="A226" s="62"/>
      <c r="B226" s="13" t="s">
        <v>210</v>
      </c>
      <c r="C226" s="63"/>
      <c r="D226" s="2">
        <v>1</v>
      </c>
      <c r="E226" s="2">
        <v>7010</v>
      </c>
      <c r="F226" s="33">
        <f t="shared" si="57"/>
        <v>27.146342407930913</v>
      </c>
      <c r="G226" s="25">
        <v>152000</v>
      </c>
      <c r="H226" s="33">
        <f t="shared" si="58"/>
        <v>7.405216877853384</v>
      </c>
      <c r="I226" s="33">
        <v>74480</v>
      </c>
      <c r="J226" s="33">
        <f t="shared" si="59"/>
        <v>9.8918116305817421</v>
      </c>
      <c r="K226" s="2">
        <v>0</v>
      </c>
      <c r="L226" s="25">
        <v>0</v>
      </c>
      <c r="M226" s="25">
        <v>19560</v>
      </c>
      <c r="N226" s="33">
        <f t="shared" si="60"/>
        <v>8.1223501663088573</v>
      </c>
      <c r="P226" s="24"/>
      <c r="Q226" s="24"/>
      <c r="R226" s="24"/>
      <c r="S226" s="24"/>
    </row>
    <row r="227" spans="1:19" x14ac:dyDescent="0.25">
      <c r="A227" s="62"/>
      <c r="B227" s="13" t="s">
        <v>211</v>
      </c>
      <c r="C227" s="63"/>
      <c r="D227" s="2">
        <v>1</v>
      </c>
      <c r="E227" s="2">
        <v>0</v>
      </c>
      <c r="F227" s="33">
        <f t="shared" si="57"/>
        <v>0</v>
      </c>
      <c r="G227" s="25">
        <v>7050</v>
      </c>
      <c r="H227" s="33">
        <f t="shared" si="58"/>
        <v>0.3434656512425418</v>
      </c>
      <c r="I227" s="33">
        <v>3454.5</v>
      </c>
      <c r="J227" s="33">
        <f t="shared" si="59"/>
        <v>0.45879784207632418</v>
      </c>
      <c r="K227" s="2">
        <v>0</v>
      </c>
      <c r="L227" s="25">
        <v>0</v>
      </c>
      <c r="M227" s="25">
        <v>0</v>
      </c>
      <c r="N227" s="33">
        <f t="shared" si="60"/>
        <v>0</v>
      </c>
      <c r="P227" s="24"/>
      <c r="Q227" s="24"/>
      <c r="R227" s="24"/>
      <c r="S227" s="24"/>
    </row>
    <row r="228" spans="1:19" x14ac:dyDescent="0.25">
      <c r="A228" s="62"/>
      <c r="B228" s="13" t="s">
        <v>212</v>
      </c>
      <c r="C228" s="63"/>
      <c r="D228" s="2">
        <v>1</v>
      </c>
      <c r="E228" s="2">
        <v>0</v>
      </c>
      <c r="F228" s="33">
        <f t="shared" si="57"/>
        <v>0</v>
      </c>
      <c r="G228" s="2">
        <v>98500</v>
      </c>
      <c r="H228" s="33">
        <f t="shared" si="58"/>
        <v>4.798775410977357</v>
      </c>
      <c r="I228" s="33">
        <v>48265</v>
      </c>
      <c r="J228" s="33">
        <f t="shared" si="59"/>
        <v>6.410154247449352</v>
      </c>
      <c r="K228" s="2">
        <v>0</v>
      </c>
      <c r="L228" s="25">
        <v>0</v>
      </c>
      <c r="M228" s="25">
        <v>7003</v>
      </c>
      <c r="N228" s="33">
        <f t="shared" si="60"/>
        <v>2.9080172911380839</v>
      </c>
      <c r="P228" s="24"/>
      <c r="Q228" s="24"/>
      <c r="R228" s="24"/>
      <c r="S228" s="24"/>
    </row>
    <row r="229" spans="1:19" ht="15.75" x14ac:dyDescent="0.25">
      <c r="A229" s="3"/>
      <c r="B229" s="14"/>
      <c r="C229" s="3"/>
      <c r="D229" s="3">
        <f>SUM(D208:D228)</f>
        <v>21</v>
      </c>
      <c r="E229" s="21">
        <f>SUM(E208:E228)</f>
        <v>25823</v>
      </c>
      <c r="F229" s="17">
        <v>1</v>
      </c>
      <c r="G229" s="21">
        <f>SUM(G208:G228)</f>
        <v>2052607</v>
      </c>
      <c r="H229" s="17">
        <v>1</v>
      </c>
      <c r="I229" s="21">
        <f>SUM(I208:I228)</f>
        <v>752946.03999999992</v>
      </c>
      <c r="J229" s="17">
        <v>1</v>
      </c>
      <c r="K229" s="3">
        <f>SUM(K208:K228)</f>
        <v>0</v>
      </c>
      <c r="L229" s="17">
        <v>1</v>
      </c>
      <c r="M229" s="21">
        <f>SUM(M208:M228)</f>
        <v>240817</v>
      </c>
      <c r="N229" s="17">
        <v>1</v>
      </c>
      <c r="P229" s="28"/>
      <c r="Q229" s="24"/>
      <c r="R229" s="24"/>
      <c r="S229" s="24"/>
    </row>
    <row r="230" spans="1:19" ht="15" customHeight="1" x14ac:dyDescent="0.25">
      <c r="A230" s="62" t="s">
        <v>214</v>
      </c>
      <c r="B230" s="13" t="s">
        <v>215</v>
      </c>
      <c r="C230" s="63" t="s">
        <v>88</v>
      </c>
      <c r="D230" s="2">
        <v>1</v>
      </c>
      <c r="E230" s="2">
        <v>0</v>
      </c>
      <c r="F230" s="33">
        <f>E230/717.55</f>
        <v>0</v>
      </c>
      <c r="G230" s="2">
        <v>388505</v>
      </c>
      <c r="H230" s="33">
        <f>G230/49556.06</f>
        <v>7.8397071922182677</v>
      </c>
      <c r="I230" s="33">
        <v>290953.5</v>
      </c>
      <c r="J230" s="33">
        <f>I230/36206.24</f>
        <v>8.0360042909730485</v>
      </c>
      <c r="K230" s="2">
        <v>0</v>
      </c>
      <c r="L230" s="33">
        <f>K230/61.08</f>
        <v>0</v>
      </c>
      <c r="M230" s="25">
        <v>17500</v>
      </c>
      <c r="N230" s="33">
        <f>M230/4189.38</f>
        <v>4.1772290887911812</v>
      </c>
      <c r="P230" s="24"/>
      <c r="Q230" s="24"/>
      <c r="R230" s="24"/>
      <c r="S230" s="24"/>
    </row>
    <row r="231" spans="1:19" ht="15" customHeight="1" x14ac:dyDescent="0.25">
      <c r="A231" s="62"/>
      <c r="B231" s="13" t="s">
        <v>216</v>
      </c>
      <c r="C231" s="63"/>
      <c r="D231" s="2">
        <v>1</v>
      </c>
      <c r="E231" s="2">
        <v>0</v>
      </c>
      <c r="F231" s="33">
        <f t="shared" ref="F231:F249" si="61">E231/717.55</f>
        <v>0</v>
      </c>
      <c r="G231" s="2">
        <v>154800</v>
      </c>
      <c r="H231" s="33">
        <f t="shared" ref="H231:H249" si="62">G231/49556.06</f>
        <v>3.1237350184820989</v>
      </c>
      <c r="I231" s="33">
        <v>127360</v>
      </c>
      <c r="J231" s="33">
        <f t="shared" ref="J231:J249" si="63">I231/36206.24</f>
        <v>3.5176256910411023</v>
      </c>
      <c r="K231" s="2">
        <v>0</v>
      </c>
      <c r="L231" s="33">
        <f t="shared" ref="L231:L249" si="64">K231/61.08</f>
        <v>0</v>
      </c>
      <c r="M231" s="25">
        <v>0</v>
      </c>
      <c r="N231" s="33">
        <f t="shared" ref="N231:N249" si="65">M231/4189.38</f>
        <v>0</v>
      </c>
      <c r="P231" s="24"/>
      <c r="Q231" s="24"/>
      <c r="R231" s="24"/>
      <c r="S231" s="24"/>
    </row>
    <row r="232" spans="1:19" ht="15" customHeight="1" x14ac:dyDescent="0.25">
      <c r="A232" s="62"/>
      <c r="B232" s="13" t="s">
        <v>217</v>
      </c>
      <c r="C232" s="63"/>
      <c r="D232" s="2">
        <v>1</v>
      </c>
      <c r="E232" s="25">
        <v>30333</v>
      </c>
      <c r="F232" s="33">
        <f t="shared" si="61"/>
        <v>42.273012333635286</v>
      </c>
      <c r="G232" s="2">
        <v>510003</v>
      </c>
      <c r="H232" s="33">
        <f t="shared" si="62"/>
        <v>10.291435598390995</v>
      </c>
      <c r="I232" s="33">
        <v>376002.1</v>
      </c>
      <c r="J232" s="33">
        <f t="shared" si="63"/>
        <v>10.385008219577619</v>
      </c>
      <c r="K232" s="2">
        <v>1200</v>
      </c>
      <c r="L232" s="33">
        <f t="shared" si="64"/>
        <v>19.646365422396858</v>
      </c>
      <c r="M232" s="25">
        <v>57800</v>
      </c>
      <c r="N232" s="33">
        <f t="shared" si="65"/>
        <v>13.796790933264587</v>
      </c>
      <c r="P232" s="24"/>
      <c r="Q232" s="24"/>
      <c r="R232" s="24"/>
      <c r="S232" s="24"/>
    </row>
    <row r="233" spans="1:19" ht="15" customHeight="1" x14ac:dyDescent="0.25">
      <c r="A233" s="62"/>
      <c r="B233" s="13" t="s">
        <v>218</v>
      </c>
      <c r="C233" s="63"/>
      <c r="D233" s="2">
        <v>1</v>
      </c>
      <c r="E233" s="2">
        <v>0</v>
      </c>
      <c r="F233" s="33">
        <f t="shared" si="61"/>
        <v>0</v>
      </c>
      <c r="G233" s="2">
        <v>237360</v>
      </c>
      <c r="H233" s="33">
        <f t="shared" si="62"/>
        <v>4.7897270283392182</v>
      </c>
      <c r="I233" s="33">
        <v>185152</v>
      </c>
      <c r="J233" s="33">
        <f t="shared" si="63"/>
        <v>5.1138146352672909</v>
      </c>
      <c r="K233" s="2">
        <v>0</v>
      </c>
      <c r="L233" s="33">
        <f t="shared" si="64"/>
        <v>0</v>
      </c>
      <c r="M233" s="25">
        <v>27036</v>
      </c>
      <c r="N233" s="33">
        <f t="shared" si="65"/>
        <v>6.4534608939747642</v>
      </c>
      <c r="P233" s="24"/>
      <c r="Q233" s="24"/>
      <c r="R233" s="24"/>
      <c r="S233" s="24"/>
    </row>
    <row r="234" spans="1:19" ht="15" customHeight="1" x14ac:dyDescent="0.25">
      <c r="A234" s="62"/>
      <c r="B234" s="13" t="s">
        <v>219</v>
      </c>
      <c r="C234" s="63"/>
      <c r="D234" s="2">
        <v>1</v>
      </c>
      <c r="E234" s="2">
        <v>10300</v>
      </c>
      <c r="F234" s="33">
        <f t="shared" si="61"/>
        <v>14.354400390216711</v>
      </c>
      <c r="G234" s="2">
        <v>387215</v>
      </c>
      <c r="H234" s="33">
        <f t="shared" si="62"/>
        <v>7.8136760670642502</v>
      </c>
      <c r="I234" s="33">
        <v>290050.5</v>
      </c>
      <c r="J234" s="33">
        <f t="shared" si="63"/>
        <v>8.0110638387195134</v>
      </c>
      <c r="K234" s="2">
        <v>0</v>
      </c>
      <c r="L234" s="33">
        <f t="shared" si="64"/>
        <v>0</v>
      </c>
      <c r="M234" s="25">
        <v>39028</v>
      </c>
      <c r="N234" s="33">
        <f t="shared" si="65"/>
        <v>9.3159369644195564</v>
      </c>
      <c r="P234" s="24"/>
      <c r="Q234" s="24"/>
      <c r="R234" s="24"/>
      <c r="S234" s="24"/>
    </row>
    <row r="235" spans="1:19" ht="15" customHeight="1" x14ac:dyDescent="0.25">
      <c r="A235" s="62"/>
      <c r="B235" s="13" t="s">
        <v>220</v>
      </c>
      <c r="C235" s="63"/>
      <c r="D235" s="2">
        <v>1</v>
      </c>
      <c r="E235" s="2">
        <v>0</v>
      </c>
      <c r="F235" s="33">
        <f t="shared" si="61"/>
        <v>0</v>
      </c>
      <c r="G235" s="2">
        <v>23647</v>
      </c>
      <c r="H235" s="33">
        <f t="shared" si="62"/>
        <v>0.47717675698996248</v>
      </c>
      <c r="I235" s="33">
        <v>7552.8999999999978</v>
      </c>
      <c r="J235" s="33">
        <f t="shared" si="63"/>
        <v>0.20860768751463832</v>
      </c>
      <c r="K235" s="2">
        <v>0</v>
      </c>
      <c r="L235" s="33">
        <f t="shared" si="64"/>
        <v>0</v>
      </c>
      <c r="M235" s="25">
        <v>0</v>
      </c>
      <c r="N235" s="33">
        <f t="shared" si="65"/>
        <v>0</v>
      </c>
      <c r="P235" s="24"/>
      <c r="Q235" s="24"/>
      <c r="R235" s="24"/>
      <c r="S235" s="24"/>
    </row>
    <row r="236" spans="1:19" ht="15" customHeight="1" x14ac:dyDescent="0.25">
      <c r="A236" s="62"/>
      <c r="B236" s="13" t="s">
        <v>221</v>
      </c>
      <c r="C236" s="63"/>
      <c r="D236" s="2">
        <v>1</v>
      </c>
      <c r="E236" s="2">
        <v>0</v>
      </c>
      <c r="F236" s="33">
        <f t="shared" si="61"/>
        <v>0</v>
      </c>
      <c r="G236" s="2">
        <v>151575</v>
      </c>
      <c r="H236" s="33">
        <f t="shared" si="62"/>
        <v>3.0586572055970551</v>
      </c>
      <c r="I236" s="33">
        <v>97102.5</v>
      </c>
      <c r="J236" s="33">
        <f t="shared" si="63"/>
        <v>2.6819272037085322</v>
      </c>
      <c r="K236" s="2">
        <v>0</v>
      </c>
      <c r="L236" s="33">
        <f t="shared" si="64"/>
        <v>0</v>
      </c>
      <c r="M236" s="25">
        <v>4003</v>
      </c>
      <c r="N236" s="33">
        <f t="shared" si="65"/>
        <v>0.9555113167103485</v>
      </c>
      <c r="P236" s="24"/>
      <c r="Q236" s="24"/>
      <c r="R236" s="24"/>
      <c r="S236" s="24"/>
    </row>
    <row r="237" spans="1:19" ht="15" customHeight="1" x14ac:dyDescent="0.25">
      <c r="A237" s="62"/>
      <c r="B237" s="13" t="s">
        <v>222</v>
      </c>
      <c r="C237" s="63"/>
      <c r="D237" s="2">
        <v>1</v>
      </c>
      <c r="E237" s="2">
        <v>3600</v>
      </c>
      <c r="F237" s="33">
        <f t="shared" si="61"/>
        <v>5.0170719810466169</v>
      </c>
      <c r="G237" s="2">
        <v>316200</v>
      </c>
      <c r="H237" s="33">
        <f t="shared" si="62"/>
        <v>6.3806525377521943</v>
      </c>
      <c r="I237" s="33">
        <v>212340</v>
      </c>
      <c r="J237" s="33">
        <f t="shared" si="63"/>
        <v>5.864734918621763</v>
      </c>
      <c r="K237" s="2">
        <v>0</v>
      </c>
      <c r="L237" s="33">
        <f t="shared" si="64"/>
        <v>0</v>
      </c>
      <c r="M237" s="25">
        <v>0</v>
      </c>
      <c r="N237" s="33">
        <f t="shared" si="65"/>
        <v>0</v>
      </c>
      <c r="P237" s="24"/>
      <c r="Q237" s="24"/>
      <c r="R237" s="24"/>
      <c r="S237" s="24"/>
    </row>
    <row r="238" spans="1:19" ht="15" customHeight="1" x14ac:dyDescent="0.25">
      <c r="A238" s="62"/>
      <c r="B238" s="13" t="s">
        <v>223</v>
      </c>
      <c r="C238" s="63"/>
      <c r="D238" s="2">
        <v>1</v>
      </c>
      <c r="E238" s="2">
        <v>0</v>
      </c>
      <c r="F238" s="33">
        <f t="shared" si="61"/>
        <v>0</v>
      </c>
      <c r="G238" s="2">
        <v>485087</v>
      </c>
      <c r="H238" s="33">
        <f t="shared" si="62"/>
        <v>9.7886514787495216</v>
      </c>
      <c r="I238" s="33">
        <v>330560.89999999997</v>
      </c>
      <c r="J238" s="33">
        <f t="shared" si="63"/>
        <v>9.1299427943912423</v>
      </c>
      <c r="K238" s="2">
        <v>2800</v>
      </c>
      <c r="L238" s="33">
        <f t="shared" si="64"/>
        <v>45.841519318925997</v>
      </c>
      <c r="M238" s="25">
        <v>98120</v>
      </c>
      <c r="N238" s="33">
        <f t="shared" si="65"/>
        <v>23.42112675383947</v>
      </c>
      <c r="P238" s="24"/>
      <c r="Q238" s="24"/>
      <c r="R238" s="24"/>
      <c r="S238" s="24"/>
    </row>
    <row r="239" spans="1:19" ht="15" customHeight="1" x14ac:dyDescent="0.25">
      <c r="A239" s="62"/>
      <c r="B239" s="13" t="s">
        <v>224</v>
      </c>
      <c r="C239" s="63"/>
      <c r="D239" s="2">
        <v>1</v>
      </c>
      <c r="E239" s="2">
        <v>0</v>
      </c>
      <c r="F239" s="33">
        <f t="shared" si="61"/>
        <v>0</v>
      </c>
      <c r="G239" s="2">
        <v>398000</v>
      </c>
      <c r="H239" s="33">
        <f t="shared" si="62"/>
        <v>8.0313083808519075</v>
      </c>
      <c r="I239" s="33">
        <v>269600</v>
      </c>
      <c r="J239" s="33">
        <f t="shared" si="63"/>
        <v>7.4462302630706754</v>
      </c>
      <c r="K239" s="2">
        <v>0</v>
      </c>
      <c r="L239" s="33">
        <f t="shared" si="64"/>
        <v>0</v>
      </c>
      <c r="M239" s="25">
        <v>41003</v>
      </c>
      <c r="N239" s="33">
        <f t="shared" si="65"/>
        <v>9.7873671044402748</v>
      </c>
      <c r="P239" s="24"/>
      <c r="Q239" s="24"/>
      <c r="R239" s="24"/>
      <c r="S239" s="24"/>
    </row>
    <row r="240" spans="1:19" ht="15" customHeight="1" x14ac:dyDescent="0.25">
      <c r="A240" s="62"/>
      <c r="B240" s="13" t="s">
        <v>221</v>
      </c>
      <c r="C240" s="63"/>
      <c r="D240" s="2">
        <v>1</v>
      </c>
      <c r="E240" s="25">
        <v>12450</v>
      </c>
      <c r="F240" s="33">
        <f t="shared" si="61"/>
        <v>17.35070726778622</v>
      </c>
      <c r="G240" s="2">
        <v>21500</v>
      </c>
      <c r="H240" s="33">
        <f t="shared" si="62"/>
        <v>0.43385208590029151</v>
      </c>
      <c r="I240" s="33">
        <v>6049.9999999999982</v>
      </c>
      <c r="J240" s="33">
        <f t="shared" si="63"/>
        <v>0.16709826814383372</v>
      </c>
      <c r="K240" s="2">
        <v>0</v>
      </c>
      <c r="L240" s="33">
        <f t="shared" si="64"/>
        <v>0</v>
      </c>
      <c r="M240" s="25">
        <v>0</v>
      </c>
      <c r="N240" s="33">
        <f t="shared" si="65"/>
        <v>0</v>
      </c>
      <c r="P240" s="24"/>
      <c r="Q240" s="24"/>
      <c r="R240" s="24"/>
      <c r="S240" s="24"/>
    </row>
    <row r="241" spans="1:19" ht="15" customHeight="1" x14ac:dyDescent="0.25">
      <c r="A241" s="62"/>
      <c r="B241" s="13" t="s">
        <v>225</v>
      </c>
      <c r="C241" s="63"/>
      <c r="D241" s="2">
        <v>1</v>
      </c>
      <c r="E241" s="2">
        <v>0</v>
      </c>
      <c r="F241" s="33">
        <f t="shared" si="61"/>
        <v>0</v>
      </c>
      <c r="G241" s="2">
        <v>350557.5</v>
      </c>
      <c r="H241" s="33">
        <f t="shared" si="62"/>
        <v>7.073958260604253</v>
      </c>
      <c r="I241" s="33">
        <v>257690.24999999997</v>
      </c>
      <c r="J241" s="33">
        <f t="shared" si="63"/>
        <v>7.1172883458762906</v>
      </c>
      <c r="K241" s="2">
        <v>0</v>
      </c>
      <c r="L241" s="33">
        <f t="shared" si="64"/>
        <v>0</v>
      </c>
      <c r="M241" s="25">
        <v>28660</v>
      </c>
      <c r="N241" s="33">
        <f t="shared" si="65"/>
        <v>6.8411077534145859</v>
      </c>
      <c r="P241" s="24"/>
      <c r="Q241" s="24"/>
      <c r="R241" s="24"/>
      <c r="S241" s="24"/>
    </row>
    <row r="242" spans="1:19" ht="15" customHeight="1" x14ac:dyDescent="0.25">
      <c r="A242" s="62"/>
      <c r="B242" s="13" t="s">
        <v>226</v>
      </c>
      <c r="C242" s="63"/>
      <c r="D242" s="2">
        <v>1</v>
      </c>
      <c r="E242" s="25">
        <v>0</v>
      </c>
      <c r="F242" s="33">
        <f t="shared" si="61"/>
        <v>0</v>
      </c>
      <c r="G242" s="2">
        <v>427927</v>
      </c>
      <c r="H242" s="33">
        <f t="shared" si="62"/>
        <v>8.6352103052583278</v>
      </c>
      <c r="I242" s="33">
        <v>311848.89999999997</v>
      </c>
      <c r="J242" s="33">
        <f t="shared" si="63"/>
        <v>8.6131258037288596</v>
      </c>
      <c r="K242" s="2">
        <v>0</v>
      </c>
      <c r="L242" s="33">
        <f t="shared" si="64"/>
        <v>0</v>
      </c>
      <c r="M242" s="25">
        <v>35600</v>
      </c>
      <c r="N242" s="33">
        <f t="shared" si="65"/>
        <v>8.4976774606266314</v>
      </c>
      <c r="P242" s="24"/>
      <c r="Q242" s="24"/>
      <c r="R242" s="24"/>
      <c r="S242" s="24"/>
    </row>
    <row r="243" spans="1:19" ht="15" customHeight="1" x14ac:dyDescent="0.25">
      <c r="A243" s="62"/>
      <c r="B243" s="13" t="s">
        <v>227</v>
      </c>
      <c r="C243" s="63"/>
      <c r="D243" s="2">
        <v>1</v>
      </c>
      <c r="E243" s="2">
        <v>0</v>
      </c>
      <c r="F243" s="33">
        <f t="shared" si="61"/>
        <v>0</v>
      </c>
      <c r="G243" s="2">
        <v>55040</v>
      </c>
      <c r="H243" s="33">
        <f t="shared" si="62"/>
        <v>1.1106613399047462</v>
      </c>
      <c r="I243" s="33">
        <v>50828</v>
      </c>
      <c r="J243" s="33">
        <f t="shared" si="63"/>
        <v>1.403846408795832</v>
      </c>
      <c r="K243" s="2">
        <v>0</v>
      </c>
      <c r="L243" s="33">
        <f t="shared" si="64"/>
        <v>0</v>
      </c>
      <c r="M243" s="25">
        <v>0</v>
      </c>
      <c r="N243" s="33">
        <f t="shared" si="65"/>
        <v>0</v>
      </c>
      <c r="P243" s="24"/>
      <c r="Q243" s="24"/>
      <c r="R243" s="24"/>
      <c r="S243" s="24"/>
    </row>
    <row r="244" spans="1:19" ht="15" customHeight="1" x14ac:dyDescent="0.25">
      <c r="A244" s="62"/>
      <c r="B244" s="13" t="s">
        <v>228</v>
      </c>
      <c r="C244" s="63"/>
      <c r="D244" s="2">
        <v>1</v>
      </c>
      <c r="E244" s="2">
        <v>0</v>
      </c>
      <c r="F244" s="33">
        <f t="shared" si="61"/>
        <v>0</v>
      </c>
      <c r="G244" s="2">
        <v>150672</v>
      </c>
      <c r="H244" s="33">
        <f t="shared" si="62"/>
        <v>3.0404354179892432</v>
      </c>
      <c r="I244" s="33">
        <v>117770.4</v>
      </c>
      <c r="J244" s="33">
        <f t="shared" si="63"/>
        <v>3.2527652691911673</v>
      </c>
      <c r="K244" s="2">
        <v>0</v>
      </c>
      <c r="L244" s="33">
        <f t="shared" si="64"/>
        <v>0</v>
      </c>
      <c r="M244" s="25">
        <v>22144</v>
      </c>
      <c r="N244" s="33">
        <f t="shared" si="65"/>
        <v>5.2857463395538238</v>
      </c>
      <c r="P244" s="24"/>
      <c r="Q244" s="24"/>
      <c r="R244" s="24"/>
      <c r="S244" s="24"/>
    </row>
    <row r="245" spans="1:19" ht="15" customHeight="1" x14ac:dyDescent="0.25">
      <c r="A245" s="62"/>
      <c r="B245" s="13" t="s">
        <v>229</v>
      </c>
      <c r="C245" s="63"/>
      <c r="D245" s="2">
        <v>1</v>
      </c>
      <c r="E245" s="25">
        <v>8062</v>
      </c>
      <c r="F245" s="33">
        <f t="shared" si="61"/>
        <v>11.23545397533273</v>
      </c>
      <c r="G245" s="2">
        <v>264450</v>
      </c>
      <c r="H245" s="33">
        <f t="shared" si="62"/>
        <v>5.3363806565735858</v>
      </c>
      <c r="I245" s="33">
        <v>197415</v>
      </c>
      <c r="J245" s="33">
        <f t="shared" si="63"/>
        <v>5.4525131579528834</v>
      </c>
      <c r="K245" s="2">
        <v>0</v>
      </c>
      <c r="L245" s="33">
        <f t="shared" si="64"/>
        <v>0</v>
      </c>
      <c r="M245" s="25">
        <v>0</v>
      </c>
      <c r="N245" s="33">
        <f t="shared" si="65"/>
        <v>0</v>
      </c>
      <c r="P245" s="24"/>
      <c r="Q245" s="24"/>
      <c r="R245" s="24"/>
      <c r="S245" s="24"/>
    </row>
    <row r="246" spans="1:19" ht="15" customHeight="1" x14ac:dyDescent="0.25">
      <c r="A246" s="62"/>
      <c r="B246" s="13" t="s">
        <v>230</v>
      </c>
      <c r="C246" s="63"/>
      <c r="D246" s="2">
        <v>1</v>
      </c>
      <c r="E246" s="2">
        <v>0</v>
      </c>
      <c r="F246" s="33">
        <f t="shared" si="61"/>
        <v>0</v>
      </c>
      <c r="G246" s="2">
        <v>79335</v>
      </c>
      <c r="H246" s="33">
        <f t="shared" si="62"/>
        <v>1.6009141969720757</v>
      </c>
      <c r="I246" s="33">
        <v>67834.5</v>
      </c>
      <c r="J246" s="33">
        <f t="shared" si="63"/>
        <v>1.8735582595707261</v>
      </c>
      <c r="K246" s="2">
        <v>0</v>
      </c>
      <c r="L246" s="33">
        <f t="shared" si="64"/>
        <v>0</v>
      </c>
      <c r="M246" s="25">
        <v>0</v>
      </c>
      <c r="N246" s="33">
        <f t="shared" si="65"/>
        <v>0</v>
      </c>
      <c r="P246" s="24"/>
      <c r="Q246" s="24"/>
      <c r="R246" s="24"/>
      <c r="S246" s="24"/>
    </row>
    <row r="247" spans="1:19" ht="15" customHeight="1" x14ac:dyDescent="0.25">
      <c r="A247" s="62"/>
      <c r="B247" s="13" t="s">
        <v>231</v>
      </c>
      <c r="C247" s="63"/>
      <c r="D247" s="2">
        <v>1</v>
      </c>
      <c r="E247" s="2">
        <v>7010</v>
      </c>
      <c r="F247" s="33">
        <f t="shared" si="61"/>
        <v>9.7693540519824413</v>
      </c>
      <c r="G247" s="2">
        <v>326800</v>
      </c>
      <c r="H247" s="33">
        <f t="shared" si="62"/>
        <v>6.5945517056844309</v>
      </c>
      <c r="I247" s="33">
        <v>241060</v>
      </c>
      <c r="J247" s="33">
        <f t="shared" si="63"/>
        <v>6.6579683502070361</v>
      </c>
      <c r="K247" s="2">
        <v>2108</v>
      </c>
      <c r="L247" s="33">
        <f t="shared" si="64"/>
        <v>34.512115258677149</v>
      </c>
      <c r="M247" s="25">
        <v>19000</v>
      </c>
      <c r="N247" s="33">
        <f t="shared" si="65"/>
        <v>4.535277296401854</v>
      </c>
      <c r="P247" s="24"/>
      <c r="Q247" s="24"/>
      <c r="R247" s="24"/>
      <c r="S247" s="24"/>
    </row>
    <row r="248" spans="1:19" ht="15" customHeight="1" x14ac:dyDescent="0.25">
      <c r="A248" s="62"/>
      <c r="B248" s="13" t="s">
        <v>232</v>
      </c>
      <c r="C248" s="63"/>
      <c r="D248" s="2">
        <v>1</v>
      </c>
      <c r="E248" s="2">
        <v>0</v>
      </c>
      <c r="F248" s="33">
        <f t="shared" si="61"/>
        <v>0</v>
      </c>
      <c r="G248" s="2">
        <v>15157.5</v>
      </c>
      <c r="H248" s="33">
        <f t="shared" si="62"/>
        <v>0.30586572055970551</v>
      </c>
      <c r="I248" s="33">
        <v>22910.25</v>
      </c>
      <c r="J248" s="33">
        <f t="shared" si="63"/>
        <v>0.63277075995739962</v>
      </c>
      <c r="K248" s="2">
        <v>0</v>
      </c>
      <c r="L248" s="33">
        <f t="shared" si="64"/>
        <v>0</v>
      </c>
      <c r="M248" s="25">
        <v>0</v>
      </c>
      <c r="N248" s="33">
        <f t="shared" si="65"/>
        <v>0</v>
      </c>
      <c r="P248" s="24"/>
      <c r="Q248" s="24"/>
      <c r="R248" s="24"/>
      <c r="S248" s="24"/>
    </row>
    <row r="249" spans="1:19" ht="15" customHeight="1" x14ac:dyDescent="0.25">
      <c r="A249" s="62"/>
      <c r="B249" s="13" t="s">
        <v>233</v>
      </c>
      <c r="C249" s="63"/>
      <c r="D249" s="2">
        <v>1</v>
      </c>
      <c r="E249" s="2">
        <v>0</v>
      </c>
      <c r="F249" s="33">
        <f t="shared" si="61"/>
        <v>0</v>
      </c>
      <c r="G249" s="2">
        <v>211775</v>
      </c>
      <c r="H249" s="33">
        <f t="shared" si="62"/>
        <v>4.2734430461178716</v>
      </c>
      <c r="I249" s="33">
        <v>160542.5</v>
      </c>
      <c r="J249" s="33">
        <f t="shared" si="63"/>
        <v>4.4341113576002371</v>
      </c>
      <c r="K249" s="2">
        <v>0</v>
      </c>
      <c r="L249" s="33">
        <f t="shared" si="64"/>
        <v>0</v>
      </c>
      <c r="M249" s="25">
        <v>29044</v>
      </c>
      <c r="N249" s="33">
        <f t="shared" si="65"/>
        <v>6.9327680945629186</v>
      </c>
      <c r="P249" s="24"/>
      <c r="Q249" s="24"/>
      <c r="R249" s="24"/>
      <c r="S249" s="24"/>
    </row>
    <row r="250" spans="1:19" ht="15" customHeight="1" x14ac:dyDescent="0.25">
      <c r="A250" s="8"/>
      <c r="B250" s="14"/>
      <c r="C250" s="9"/>
      <c r="D250" s="3">
        <f>SUM(D230:D249)</f>
        <v>20</v>
      </c>
      <c r="E250" s="21">
        <f>SUM(E230:E249)</f>
        <v>71755</v>
      </c>
      <c r="F250" s="17">
        <v>1</v>
      </c>
      <c r="G250" s="21">
        <f>SUM(G230:G249)</f>
        <v>4955606</v>
      </c>
      <c r="H250" s="17">
        <v>1</v>
      </c>
      <c r="I250" s="21">
        <f>SUM(I230:I249)</f>
        <v>3620624.1999999997</v>
      </c>
      <c r="J250" s="17">
        <v>1</v>
      </c>
      <c r="K250" s="21">
        <f>SUM(K230:K249)</f>
        <v>6108</v>
      </c>
      <c r="L250" s="17">
        <v>1</v>
      </c>
      <c r="M250" s="21">
        <f>SUM(M230:M249)</f>
        <v>418938</v>
      </c>
      <c r="N250" s="17">
        <v>1</v>
      </c>
      <c r="P250" s="28"/>
      <c r="Q250" s="24"/>
      <c r="R250" s="24"/>
      <c r="S250" s="24"/>
    </row>
    <row r="251" spans="1:19" ht="15" customHeight="1" x14ac:dyDescent="0.25">
      <c r="A251" s="64" t="s">
        <v>234</v>
      </c>
      <c r="B251" s="13" t="s">
        <v>235</v>
      </c>
      <c r="C251" s="63" t="s">
        <v>88</v>
      </c>
      <c r="D251" s="2">
        <v>1</v>
      </c>
      <c r="E251" s="2">
        <v>0</v>
      </c>
      <c r="F251" s="33">
        <f>E251/214.4</f>
        <v>0</v>
      </c>
      <c r="G251" s="2">
        <v>1410100</v>
      </c>
      <c r="H251" s="33">
        <f>G251/52098.35</f>
        <v>27.066116297349151</v>
      </c>
      <c r="I251" s="2">
        <v>540120</v>
      </c>
      <c r="J251" s="33">
        <f>I251/15059.1</f>
        <v>35.8666852600753</v>
      </c>
      <c r="K251" s="25">
        <v>4600</v>
      </c>
      <c r="L251" s="33">
        <f>K251/76.22</f>
        <v>60.351613749672005</v>
      </c>
      <c r="M251" s="25">
        <v>134556</v>
      </c>
      <c r="N251" s="33">
        <f>M251/3826.31</f>
        <v>35.165995436856917</v>
      </c>
      <c r="P251" s="24"/>
      <c r="Q251" s="24"/>
      <c r="R251" s="24"/>
      <c r="S251" s="24"/>
    </row>
    <row r="252" spans="1:19" ht="15" customHeight="1" x14ac:dyDescent="0.25">
      <c r="A252" s="64"/>
      <c r="B252" s="13" t="s">
        <v>236</v>
      </c>
      <c r="C252" s="63"/>
      <c r="D252" s="2">
        <v>1</v>
      </c>
      <c r="E252" s="2">
        <v>5010</v>
      </c>
      <c r="F252" s="33">
        <f t="shared" ref="F252:F254" si="66">E252/214.4</f>
        <v>23.367537313432834</v>
      </c>
      <c r="G252" s="2">
        <v>641210</v>
      </c>
      <c r="H252" s="33">
        <f t="shared" ref="H252:H254" si="67">G252/52098.35</f>
        <v>12.307683448708069</v>
      </c>
      <c r="I252" s="2">
        <v>319150</v>
      </c>
      <c r="J252" s="33">
        <f t="shared" ref="J252:J254" si="68">I252/15059.1</f>
        <v>21.19316559422542</v>
      </c>
      <c r="K252" s="25">
        <v>0</v>
      </c>
      <c r="L252" s="33">
        <f t="shared" ref="L252:L254" si="69">K252/76.22</f>
        <v>0</v>
      </c>
      <c r="M252" s="25">
        <v>35002</v>
      </c>
      <c r="N252" s="33">
        <f t="shared" ref="N252:N254" si="70">M252/3826.31</f>
        <v>9.1477167296951887</v>
      </c>
      <c r="P252" s="24"/>
      <c r="Q252" s="24"/>
      <c r="R252" s="24"/>
      <c r="S252" s="24"/>
    </row>
    <row r="253" spans="1:19" ht="15" customHeight="1" x14ac:dyDescent="0.25">
      <c r="A253" s="64"/>
      <c r="B253" s="13" t="s">
        <v>237</v>
      </c>
      <c r="C253" s="63"/>
      <c r="D253" s="2">
        <v>1</v>
      </c>
      <c r="E253" s="2">
        <v>10230</v>
      </c>
      <c r="F253" s="33">
        <f t="shared" si="66"/>
        <v>47.714552238805972</v>
      </c>
      <c r="G253" s="2">
        <v>1280125</v>
      </c>
      <c r="H253" s="33">
        <f t="shared" si="67"/>
        <v>24.571315598286702</v>
      </c>
      <c r="I253" s="2">
        <v>425410</v>
      </c>
      <c r="J253" s="33">
        <f t="shared" si="68"/>
        <v>28.249364171829658</v>
      </c>
      <c r="K253" s="25">
        <v>3022</v>
      </c>
      <c r="L253" s="33">
        <f t="shared" si="69"/>
        <v>39.648386250327995</v>
      </c>
      <c r="M253" s="25">
        <v>98600</v>
      </c>
      <c r="N253" s="33">
        <f t="shared" si="70"/>
        <v>25.768952332665155</v>
      </c>
      <c r="P253" s="24"/>
      <c r="Q253" s="24"/>
      <c r="R253" s="24"/>
      <c r="S253" s="24"/>
    </row>
    <row r="254" spans="1:19" x14ac:dyDescent="0.25">
      <c r="A254" s="64"/>
      <c r="B254" s="13" t="s">
        <v>238</v>
      </c>
      <c r="C254" s="63"/>
      <c r="D254" s="2">
        <v>1</v>
      </c>
      <c r="E254" s="2">
        <v>6200</v>
      </c>
      <c r="F254" s="33">
        <f t="shared" si="66"/>
        <v>28.917910447761194</v>
      </c>
      <c r="G254" s="2">
        <v>1878400</v>
      </c>
      <c r="H254" s="33">
        <f t="shared" si="67"/>
        <v>36.054884655656082</v>
      </c>
      <c r="I254" s="2">
        <v>221230</v>
      </c>
      <c r="J254" s="33">
        <f t="shared" si="68"/>
        <v>14.69078497386962</v>
      </c>
      <c r="K254" s="25">
        <v>0</v>
      </c>
      <c r="L254" s="33">
        <f t="shared" si="69"/>
        <v>0</v>
      </c>
      <c r="M254" s="25">
        <v>114473</v>
      </c>
      <c r="N254" s="33">
        <f t="shared" si="70"/>
        <v>29.917335500782738</v>
      </c>
      <c r="P254" s="24"/>
      <c r="Q254" s="24"/>
      <c r="R254" s="24"/>
      <c r="S254" s="24"/>
    </row>
    <row r="255" spans="1:19" ht="15.75" x14ac:dyDescent="0.25">
      <c r="A255" s="3"/>
      <c r="B255" s="14"/>
      <c r="C255" s="3"/>
      <c r="D255" s="3"/>
      <c r="E255" s="21">
        <f>SUM(E251:E254)</f>
        <v>21440</v>
      </c>
      <c r="F255" s="17">
        <v>1</v>
      </c>
      <c r="G255" s="21">
        <f>SUM(G251:G254)</f>
        <v>5209835</v>
      </c>
      <c r="H255" s="17">
        <v>1</v>
      </c>
      <c r="I255" s="21">
        <f>SUM(I251:I254)</f>
        <v>1505910</v>
      </c>
      <c r="J255" s="17">
        <v>1</v>
      </c>
      <c r="K255" s="21">
        <f>SUM(K251:K254)</f>
        <v>7622</v>
      </c>
      <c r="L255" s="17">
        <v>1</v>
      </c>
      <c r="M255" s="21">
        <f>SUM(M251:M254)</f>
        <v>382631</v>
      </c>
      <c r="N255" s="17">
        <v>1</v>
      </c>
      <c r="P255" s="28"/>
      <c r="Q255" s="24"/>
      <c r="R255" s="24"/>
      <c r="S255" s="24"/>
    </row>
    <row r="256" spans="1:19" x14ac:dyDescent="0.25">
      <c r="A256" s="62" t="s">
        <v>239</v>
      </c>
      <c r="B256" s="13" t="s">
        <v>240</v>
      </c>
      <c r="C256" s="63" t="s">
        <v>88</v>
      </c>
      <c r="D256" s="2">
        <v>1</v>
      </c>
      <c r="E256" s="2">
        <v>0</v>
      </c>
      <c r="F256" s="33">
        <f>E256/634.6</f>
        <v>0</v>
      </c>
      <c r="G256" s="33">
        <v>586503.44999999995</v>
      </c>
      <c r="H256" s="33">
        <f>G256/88786.49</f>
        <v>6.6057735810932483</v>
      </c>
      <c r="I256" s="33">
        <v>460552</v>
      </c>
      <c r="J256" s="33">
        <f>I256/48372.94</f>
        <v>9.520860216476402</v>
      </c>
      <c r="K256" s="2">
        <v>0</v>
      </c>
      <c r="L256" s="33">
        <f>K256/176.01</f>
        <v>0</v>
      </c>
      <c r="M256" s="33">
        <v>66650.345000000001</v>
      </c>
      <c r="N256" s="33">
        <f>M256/5381.47</f>
        <v>12.385155914647855</v>
      </c>
      <c r="P256" s="24"/>
      <c r="Q256" s="24"/>
      <c r="R256" s="24"/>
      <c r="S256" s="24"/>
    </row>
    <row r="257" spans="1:19" x14ac:dyDescent="0.25">
      <c r="A257" s="62"/>
      <c r="B257" s="13" t="s">
        <v>241</v>
      </c>
      <c r="C257" s="63"/>
      <c r="D257" s="2">
        <v>1</v>
      </c>
      <c r="E257" s="2">
        <v>0</v>
      </c>
      <c r="F257" s="33">
        <f t="shared" ref="F257:F275" si="71">E257/634.6</f>
        <v>0</v>
      </c>
      <c r="G257" s="33">
        <v>272964</v>
      </c>
      <c r="H257" s="33">
        <f t="shared" ref="H257:H275" si="72">G257/88786.49</f>
        <v>3.0743866549967227</v>
      </c>
      <c r="I257" s="33">
        <v>161074</v>
      </c>
      <c r="J257" s="33">
        <f t="shared" ref="J257:J275" si="73">I257/48372.94</f>
        <v>3.3298368881444871</v>
      </c>
      <c r="K257" s="2">
        <v>0</v>
      </c>
      <c r="L257" s="33">
        <f t="shared" ref="L257:L275" si="74">K257/176.01</f>
        <v>0</v>
      </c>
      <c r="M257" s="33">
        <v>29296.400000000001</v>
      </c>
      <c r="N257" s="33">
        <f t="shared" ref="N257:N275" si="75">M257/5381.47</f>
        <v>5.4439400386883134</v>
      </c>
      <c r="P257" s="24"/>
      <c r="Q257" s="24"/>
      <c r="R257" s="24"/>
      <c r="S257" s="24"/>
    </row>
    <row r="258" spans="1:19" x14ac:dyDescent="0.25">
      <c r="A258" s="62"/>
      <c r="B258" s="13" t="s">
        <v>242</v>
      </c>
      <c r="C258" s="63"/>
      <c r="D258" s="2">
        <v>1</v>
      </c>
      <c r="E258" s="2">
        <v>18960</v>
      </c>
      <c r="F258" s="33">
        <f t="shared" si="71"/>
        <v>29.877087929404347</v>
      </c>
      <c r="G258" s="33">
        <v>445297.24999999994</v>
      </c>
      <c r="H258" s="33">
        <f t="shared" si="72"/>
        <v>5.0153717080154863</v>
      </c>
      <c r="I258" s="33">
        <v>311708.07499999995</v>
      </c>
      <c r="J258" s="33">
        <f t="shared" si="73"/>
        <v>6.4438521826459159</v>
      </c>
      <c r="K258" s="2">
        <v>0</v>
      </c>
      <c r="L258" s="33">
        <f t="shared" si="74"/>
        <v>0</v>
      </c>
      <c r="M258" s="33">
        <v>46529.724999999999</v>
      </c>
      <c r="N258" s="33">
        <f t="shared" si="75"/>
        <v>8.6462853086610156</v>
      </c>
      <c r="P258" s="24"/>
      <c r="Q258" s="24"/>
      <c r="R258" s="24"/>
      <c r="S258" s="24"/>
    </row>
    <row r="259" spans="1:19" x14ac:dyDescent="0.25">
      <c r="A259" s="62"/>
      <c r="B259" s="13" t="s">
        <v>243</v>
      </c>
      <c r="C259" s="63"/>
      <c r="D259" s="2">
        <v>1</v>
      </c>
      <c r="E259" s="2">
        <v>0</v>
      </c>
      <c r="F259" s="33">
        <f t="shared" si="71"/>
        <v>0</v>
      </c>
      <c r="G259" s="33">
        <v>27194.05</v>
      </c>
      <c r="H259" s="33">
        <f t="shared" si="72"/>
        <v>0.30628590002825878</v>
      </c>
      <c r="I259" s="33">
        <v>19035.834999999999</v>
      </c>
      <c r="J259" s="33">
        <f t="shared" si="73"/>
        <v>0.39352239082429141</v>
      </c>
      <c r="K259" s="2">
        <v>0</v>
      </c>
      <c r="L259" s="33">
        <f t="shared" si="74"/>
        <v>0</v>
      </c>
      <c r="M259" s="33">
        <v>4719.4049999999997</v>
      </c>
      <c r="N259" s="33">
        <f t="shared" si="75"/>
        <v>0.87697320620573926</v>
      </c>
      <c r="P259" s="24"/>
      <c r="Q259" s="24"/>
      <c r="R259" s="24"/>
      <c r="S259" s="24"/>
    </row>
    <row r="260" spans="1:19" x14ac:dyDescent="0.25">
      <c r="A260" s="62"/>
      <c r="B260" s="13" t="s">
        <v>244</v>
      </c>
      <c r="C260" s="63"/>
      <c r="D260" s="2">
        <v>1</v>
      </c>
      <c r="E260" s="2">
        <v>0</v>
      </c>
      <c r="F260" s="33">
        <f t="shared" si="71"/>
        <v>0</v>
      </c>
      <c r="G260" s="33">
        <v>174311.25</v>
      </c>
      <c r="H260" s="33">
        <f t="shared" si="72"/>
        <v>1.9632632171854072</v>
      </c>
      <c r="I260" s="33">
        <v>122017.87499999999</v>
      </c>
      <c r="J260" s="33">
        <f t="shared" si="73"/>
        <v>2.5224407488980405</v>
      </c>
      <c r="K260" s="2">
        <v>0</v>
      </c>
      <c r="L260" s="33">
        <f t="shared" si="74"/>
        <v>0</v>
      </c>
      <c r="M260" s="33">
        <v>19431.125</v>
      </c>
      <c r="N260" s="33">
        <f t="shared" si="75"/>
        <v>3.6107466918890192</v>
      </c>
      <c r="P260" s="24"/>
      <c r="Q260" s="24"/>
      <c r="R260" s="24"/>
      <c r="S260" s="24"/>
    </row>
    <row r="261" spans="1:19" x14ac:dyDescent="0.25">
      <c r="A261" s="62"/>
      <c r="B261" s="13" t="s">
        <v>245</v>
      </c>
      <c r="C261" s="63"/>
      <c r="D261" s="2">
        <v>2</v>
      </c>
      <c r="E261" s="2">
        <v>21000</v>
      </c>
      <c r="F261" s="33">
        <f t="shared" si="71"/>
        <v>33.091711314213676</v>
      </c>
      <c r="G261" s="33">
        <v>1518074.7499999998</v>
      </c>
      <c r="H261" s="33">
        <f t="shared" si="72"/>
        <v>17.09803766316249</v>
      </c>
      <c r="I261" s="33">
        <v>1022652</v>
      </c>
      <c r="J261" s="33">
        <f t="shared" si="73"/>
        <v>21.140993290877088</v>
      </c>
      <c r="K261" s="2">
        <v>7000</v>
      </c>
      <c r="L261" s="33">
        <f t="shared" si="74"/>
        <v>39.770467587068921</v>
      </c>
      <c r="M261" s="25">
        <v>137800</v>
      </c>
      <c r="N261" s="33">
        <f t="shared" si="75"/>
        <v>25.60638635911749</v>
      </c>
      <c r="P261" s="24"/>
      <c r="Q261" s="24"/>
      <c r="R261" s="24"/>
      <c r="S261" s="24"/>
    </row>
    <row r="262" spans="1:19" x14ac:dyDescent="0.25">
      <c r="A262" s="62"/>
      <c r="B262" s="13" t="s">
        <v>22</v>
      </c>
      <c r="C262" s="63"/>
      <c r="D262" s="2">
        <v>2</v>
      </c>
      <c r="E262" s="2">
        <v>0</v>
      </c>
      <c r="F262" s="33">
        <f t="shared" si="71"/>
        <v>0</v>
      </c>
      <c r="G262" s="33">
        <v>1127113.8499999999</v>
      </c>
      <c r="H262" s="33">
        <f t="shared" si="72"/>
        <v>12.694654896257299</v>
      </c>
      <c r="I262" s="33">
        <v>984979</v>
      </c>
      <c r="J262" s="33">
        <f t="shared" si="73"/>
        <v>20.362190100498335</v>
      </c>
      <c r="K262" s="2">
        <v>3600</v>
      </c>
      <c r="L262" s="33">
        <f t="shared" si="74"/>
        <v>20.453383330492585</v>
      </c>
      <c r="M262" s="25">
        <v>87036</v>
      </c>
      <c r="N262" s="33">
        <f t="shared" si="75"/>
        <v>16.173276075124456</v>
      </c>
      <c r="P262" s="24"/>
      <c r="Q262" s="24"/>
      <c r="R262" s="24"/>
      <c r="S262" s="24"/>
    </row>
    <row r="263" spans="1:19" x14ac:dyDescent="0.25">
      <c r="A263" s="62"/>
      <c r="B263" s="13" t="s">
        <v>246</v>
      </c>
      <c r="C263" s="63"/>
      <c r="D263" s="2">
        <v>1</v>
      </c>
      <c r="E263" s="2">
        <v>0</v>
      </c>
      <c r="F263" s="33">
        <f t="shared" si="71"/>
        <v>0</v>
      </c>
      <c r="G263" s="33">
        <v>178020</v>
      </c>
      <c r="H263" s="33">
        <f t="shared" si="72"/>
        <v>2.0050347749978625</v>
      </c>
      <c r="I263" s="33">
        <v>124613.99999999999</v>
      </c>
      <c r="J263" s="33">
        <f t="shared" si="73"/>
        <v>2.5761097010022542</v>
      </c>
      <c r="K263" s="2">
        <v>0</v>
      </c>
      <c r="L263" s="33">
        <f t="shared" si="74"/>
        <v>0</v>
      </c>
      <c r="M263" s="25">
        <v>39028</v>
      </c>
      <c r="N263" s="33">
        <f t="shared" si="75"/>
        <v>7.2522935183137687</v>
      </c>
      <c r="P263" s="24"/>
      <c r="Q263" s="24"/>
      <c r="R263" s="24"/>
      <c r="S263" s="24"/>
    </row>
    <row r="264" spans="1:19" x14ac:dyDescent="0.25">
      <c r="A264" s="62"/>
      <c r="B264" s="13" t="s">
        <v>247</v>
      </c>
      <c r="C264" s="63"/>
      <c r="D264" s="2">
        <v>1</v>
      </c>
      <c r="E264" s="2">
        <v>0</v>
      </c>
      <c r="F264" s="33">
        <f t="shared" si="71"/>
        <v>0</v>
      </c>
      <c r="G264" s="33">
        <v>586503.44999999995</v>
      </c>
      <c r="H264" s="33">
        <f t="shared" si="72"/>
        <v>6.6057735810932483</v>
      </c>
      <c r="I264" s="2">
        <v>36023</v>
      </c>
      <c r="J264" s="33">
        <f t="shared" si="73"/>
        <v>0.74469321070830097</v>
      </c>
      <c r="K264" s="2">
        <v>0</v>
      </c>
      <c r="L264" s="33">
        <f t="shared" si="74"/>
        <v>0</v>
      </c>
      <c r="M264" s="25">
        <v>23100</v>
      </c>
      <c r="N264" s="33">
        <f t="shared" si="75"/>
        <v>4.2925074375588821</v>
      </c>
      <c r="P264" s="24"/>
      <c r="Q264" s="24"/>
      <c r="R264" s="24"/>
      <c r="S264" s="24"/>
    </row>
    <row r="265" spans="1:19" x14ac:dyDescent="0.25">
      <c r="A265" s="62"/>
      <c r="B265" s="13" t="s">
        <v>248</v>
      </c>
      <c r="C265" s="63"/>
      <c r="D265" s="2">
        <v>1</v>
      </c>
      <c r="E265" s="2">
        <v>0</v>
      </c>
      <c r="F265" s="33">
        <f t="shared" si="71"/>
        <v>0</v>
      </c>
      <c r="G265" s="33">
        <v>272964</v>
      </c>
      <c r="H265" s="33">
        <f t="shared" si="72"/>
        <v>3.0743866549967227</v>
      </c>
      <c r="I265" s="2">
        <v>0</v>
      </c>
      <c r="J265" s="33">
        <f t="shared" si="73"/>
        <v>0</v>
      </c>
      <c r="K265" s="2">
        <v>0</v>
      </c>
      <c r="L265" s="33">
        <f t="shared" si="74"/>
        <v>0</v>
      </c>
      <c r="M265" s="25">
        <v>0</v>
      </c>
      <c r="N265" s="33">
        <f t="shared" si="75"/>
        <v>0</v>
      </c>
      <c r="P265" s="24"/>
      <c r="Q265" s="24"/>
      <c r="R265" s="24"/>
      <c r="S265" s="24"/>
    </row>
    <row r="266" spans="1:19" x14ac:dyDescent="0.25">
      <c r="A266" s="62"/>
      <c r="B266" s="13" t="s">
        <v>249</v>
      </c>
      <c r="C266" s="63"/>
      <c r="D266" s="2">
        <v>1</v>
      </c>
      <c r="E266" s="2">
        <v>9300</v>
      </c>
      <c r="F266" s="33">
        <f t="shared" si="71"/>
        <v>14.654900724866057</v>
      </c>
      <c r="G266" s="33">
        <v>445297.24999999994</v>
      </c>
      <c r="H266" s="33">
        <f t="shared" si="72"/>
        <v>5.0153717080154863</v>
      </c>
      <c r="I266" s="2">
        <v>9600</v>
      </c>
      <c r="J266" s="33">
        <f t="shared" si="73"/>
        <v>0.19845806353717593</v>
      </c>
      <c r="K266" s="2">
        <v>2311</v>
      </c>
      <c r="L266" s="33">
        <f t="shared" si="74"/>
        <v>13.129935799102324</v>
      </c>
      <c r="M266" s="25">
        <v>10223</v>
      </c>
      <c r="N266" s="33">
        <f t="shared" si="75"/>
        <v>1.8996668196607989</v>
      </c>
      <c r="P266" s="24"/>
      <c r="Q266" s="24"/>
      <c r="R266" s="24"/>
      <c r="S266" s="24"/>
    </row>
    <row r="267" spans="1:19" x14ac:dyDescent="0.25">
      <c r="A267" s="62"/>
      <c r="B267" s="13" t="s">
        <v>250</v>
      </c>
      <c r="C267" s="63"/>
      <c r="D267" s="2">
        <v>1</v>
      </c>
      <c r="E267" s="2">
        <v>0</v>
      </c>
      <c r="F267" s="33">
        <f t="shared" si="71"/>
        <v>0</v>
      </c>
      <c r="G267" s="33">
        <v>27194.05</v>
      </c>
      <c r="H267" s="33">
        <f t="shared" si="72"/>
        <v>0.30628590002825878</v>
      </c>
      <c r="I267" s="2">
        <v>0</v>
      </c>
      <c r="J267" s="33">
        <f t="shared" si="73"/>
        <v>0</v>
      </c>
      <c r="K267" s="2">
        <v>0</v>
      </c>
      <c r="L267" s="33">
        <f t="shared" si="74"/>
        <v>0</v>
      </c>
      <c r="M267" s="25">
        <v>0</v>
      </c>
      <c r="N267" s="33">
        <f t="shared" si="75"/>
        <v>0</v>
      </c>
      <c r="P267" s="24"/>
      <c r="Q267" s="24"/>
      <c r="R267" s="24"/>
      <c r="S267" s="24"/>
    </row>
    <row r="268" spans="1:19" x14ac:dyDescent="0.25">
      <c r="A268" s="62"/>
      <c r="B268" s="13" t="s">
        <v>251</v>
      </c>
      <c r="C268" s="63"/>
      <c r="D268" s="2">
        <v>1</v>
      </c>
      <c r="E268" s="2">
        <v>0</v>
      </c>
      <c r="F268" s="33">
        <f t="shared" si="71"/>
        <v>0</v>
      </c>
      <c r="G268" s="33">
        <v>174311.25</v>
      </c>
      <c r="H268" s="33">
        <f t="shared" si="72"/>
        <v>1.9632632171854072</v>
      </c>
      <c r="I268" s="2">
        <v>0</v>
      </c>
      <c r="J268" s="33">
        <f t="shared" si="73"/>
        <v>0</v>
      </c>
      <c r="K268" s="2">
        <v>0</v>
      </c>
      <c r="L268" s="33">
        <f t="shared" si="74"/>
        <v>0</v>
      </c>
      <c r="M268" s="25">
        <v>0</v>
      </c>
      <c r="N268" s="33">
        <f t="shared" si="75"/>
        <v>0</v>
      </c>
      <c r="P268" s="24"/>
      <c r="Q268" s="24"/>
      <c r="R268" s="24"/>
      <c r="S268" s="24"/>
    </row>
    <row r="269" spans="1:19" x14ac:dyDescent="0.25">
      <c r="A269" s="62"/>
      <c r="B269" s="13" t="s">
        <v>252</v>
      </c>
      <c r="C269" s="63"/>
      <c r="D269" s="2">
        <v>1</v>
      </c>
      <c r="E269" s="2">
        <v>3600</v>
      </c>
      <c r="F269" s="33">
        <f t="shared" si="71"/>
        <v>5.6728647967223447</v>
      </c>
      <c r="G269" s="33">
        <v>363630</v>
      </c>
      <c r="H269" s="33">
        <f t="shared" si="72"/>
        <v>4.0955555287747041</v>
      </c>
      <c r="I269" s="33">
        <v>224714</v>
      </c>
      <c r="J269" s="33">
        <f t="shared" si="73"/>
        <v>4.6454484676763492</v>
      </c>
      <c r="K269" s="2">
        <v>0</v>
      </c>
      <c r="L269" s="33">
        <f t="shared" si="74"/>
        <v>0</v>
      </c>
      <c r="M269" s="25">
        <v>0</v>
      </c>
      <c r="N269" s="33">
        <f t="shared" si="75"/>
        <v>0</v>
      </c>
      <c r="P269" s="24"/>
      <c r="Q269" s="24"/>
      <c r="R269" s="24"/>
      <c r="S269" s="24"/>
    </row>
    <row r="270" spans="1:19" x14ac:dyDescent="0.25">
      <c r="A270" s="62"/>
      <c r="B270" s="13" t="s">
        <v>253</v>
      </c>
      <c r="C270" s="63"/>
      <c r="D270" s="2">
        <v>2</v>
      </c>
      <c r="E270" s="2">
        <v>0</v>
      </c>
      <c r="F270" s="33">
        <f t="shared" si="71"/>
        <v>0</v>
      </c>
      <c r="G270" s="33">
        <v>1173000</v>
      </c>
      <c r="H270" s="33">
        <f t="shared" si="72"/>
        <v>13.211469447660336</v>
      </c>
      <c r="I270" s="33">
        <v>1084970</v>
      </c>
      <c r="J270" s="33">
        <f t="shared" si="73"/>
        <v>22.429275541242685</v>
      </c>
      <c r="K270" s="2">
        <v>4690</v>
      </c>
      <c r="L270" s="33">
        <f t="shared" si="74"/>
        <v>26.646213283336177</v>
      </c>
      <c r="M270" s="25">
        <v>59667</v>
      </c>
      <c r="N270" s="33">
        <f t="shared" si="75"/>
        <v>11.087490964364754</v>
      </c>
      <c r="P270" s="24"/>
      <c r="Q270" s="24"/>
      <c r="R270" s="24"/>
      <c r="S270" s="24"/>
    </row>
    <row r="271" spans="1:19" x14ac:dyDescent="0.25">
      <c r="A271" s="62"/>
      <c r="B271" s="13" t="s">
        <v>254</v>
      </c>
      <c r="C271" s="63"/>
      <c r="D271" s="2">
        <v>1</v>
      </c>
      <c r="E271" s="2">
        <v>0</v>
      </c>
      <c r="F271" s="33">
        <f t="shared" si="71"/>
        <v>0</v>
      </c>
      <c r="G271" s="33">
        <v>586503.44999999995</v>
      </c>
      <c r="H271" s="33">
        <f t="shared" si="72"/>
        <v>6.6057735810932483</v>
      </c>
      <c r="I271" s="2">
        <v>65030</v>
      </c>
      <c r="J271" s="33">
        <f t="shared" si="73"/>
        <v>1.3443466533148491</v>
      </c>
      <c r="K271" s="2">
        <v>0</v>
      </c>
      <c r="L271" s="33">
        <f t="shared" si="74"/>
        <v>0</v>
      </c>
      <c r="M271" s="25">
        <v>0</v>
      </c>
      <c r="N271" s="33">
        <f t="shared" si="75"/>
        <v>0</v>
      </c>
      <c r="P271" s="24"/>
      <c r="Q271" s="24"/>
      <c r="R271" s="24"/>
      <c r="S271" s="24"/>
    </row>
    <row r="272" spans="1:19" x14ac:dyDescent="0.25">
      <c r="A272" s="62"/>
      <c r="B272" s="13" t="s">
        <v>255</v>
      </c>
      <c r="C272" s="63"/>
      <c r="D272" s="2">
        <v>1</v>
      </c>
      <c r="E272" s="2">
        <v>0</v>
      </c>
      <c r="F272" s="33">
        <f t="shared" si="71"/>
        <v>0</v>
      </c>
      <c r="G272" s="33">
        <v>272964</v>
      </c>
      <c r="H272" s="33">
        <f t="shared" si="72"/>
        <v>3.0743866549967227</v>
      </c>
      <c r="I272" s="2">
        <v>0</v>
      </c>
      <c r="J272" s="33">
        <f t="shared" si="73"/>
        <v>0</v>
      </c>
      <c r="K272" s="2">
        <v>0</v>
      </c>
      <c r="L272" s="33">
        <f t="shared" si="74"/>
        <v>0</v>
      </c>
      <c r="M272" s="25">
        <v>14666</v>
      </c>
      <c r="N272" s="33">
        <f t="shared" si="75"/>
        <v>2.7252776657679036</v>
      </c>
      <c r="P272" s="24"/>
      <c r="Q272" s="24"/>
      <c r="R272" s="24"/>
      <c r="S272" s="24"/>
    </row>
    <row r="273" spans="1:19" x14ac:dyDescent="0.25">
      <c r="A273" s="62"/>
      <c r="B273" s="13" t="s">
        <v>256</v>
      </c>
      <c r="C273" s="63"/>
      <c r="D273" s="2">
        <v>1</v>
      </c>
      <c r="E273" s="2">
        <v>10600</v>
      </c>
      <c r="F273" s="33">
        <f t="shared" si="71"/>
        <v>16.70343523479357</v>
      </c>
      <c r="G273" s="33">
        <v>445297.24999999994</v>
      </c>
      <c r="H273" s="33">
        <f t="shared" si="72"/>
        <v>5.0153717080154863</v>
      </c>
      <c r="I273" s="2">
        <v>210324</v>
      </c>
      <c r="J273" s="33">
        <f t="shared" si="73"/>
        <v>4.3479680995201031</v>
      </c>
      <c r="K273" s="2">
        <v>0</v>
      </c>
      <c r="L273" s="33">
        <f t="shared" si="74"/>
        <v>0</v>
      </c>
      <c r="M273" s="25">
        <v>0</v>
      </c>
      <c r="N273" s="33">
        <f t="shared" si="75"/>
        <v>0</v>
      </c>
      <c r="P273" s="24"/>
      <c r="Q273" s="24"/>
      <c r="R273" s="24"/>
      <c r="S273" s="24"/>
    </row>
    <row r="274" spans="1:19" x14ac:dyDescent="0.25">
      <c r="A274" s="62"/>
      <c r="B274" s="13" t="s">
        <v>25</v>
      </c>
      <c r="C274" s="63"/>
      <c r="D274" s="2">
        <v>1</v>
      </c>
      <c r="E274" s="2">
        <v>0</v>
      </c>
      <c r="F274" s="33">
        <f t="shared" si="71"/>
        <v>0</v>
      </c>
      <c r="G274" s="33">
        <v>27194.05</v>
      </c>
      <c r="H274" s="33">
        <f t="shared" si="72"/>
        <v>0.30628590002825878</v>
      </c>
      <c r="I274" s="2">
        <v>0</v>
      </c>
      <c r="J274" s="33">
        <f t="shared" si="73"/>
        <v>0</v>
      </c>
      <c r="K274" s="2">
        <v>0</v>
      </c>
      <c r="L274" s="33">
        <f t="shared" si="74"/>
        <v>0</v>
      </c>
      <c r="M274" s="25">
        <v>0</v>
      </c>
      <c r="N274" s="33">
        <f t="shared" si="75"/>
        <v>0</v>
      </c>
      <c r="P274" s="24"/>
      <c r="Q274" s="24"/>
      <c r="R274" s="24"/>
      <c r="S274" s="24"/>
    </row>
    <row r="275" spans="1:19" x14ac:dyDescent="0.25">
      <c r="A275" s="62"/>
      <c r="B275" s="13" t="s">
        <v>257</v>
      </c>
      <c r="C275" s="63"/>
      <c r="D275" s="2">
        <v>1</v>
      </c>
      <c r="E275" s="2">
        <v>0</v>
      </c>
      <c r="F275" s="33">
        <f t="shared" si="71"/>
        <v>0</v>
      </c>
      <c r="G275" s="33">
        <v>174311.25</v>
      </c>
      <c r="H275" s="33">
        <f t="shared" si="72"/>
        <v>1.9632632171854072</v>
      </c>
      <c r="I275" s="2">
        <v>0</v>
      </c>
      <c r="J275" s="33">
        <f t="shared" si="73"/>
        <v>0</v>
      </c>
      <c r="K275" s="2">
        <v>0</v>
      </c>
      <c r="L275" s="33">
        <f t="shared" si="74"/>
        <v>0</v>
      </c>
      <c r="M275" s="25">
        <v>0</v>
      </c>
      <c r="N275" s="33">
        <f t="shared" si="75"/>
        <v>0</v>
      </c>
      <c r="P275" s="24"/>
      <c r="Q275" s="24"/>
      <c r="R275" s="24"/>
      <c r="S275" s="24"/>
    </row>
    <row r="276" spans="1:19" ht="15.75" x14ac:dyDescent="0.25">
      <c r="A276" s="3"/>
      <c r="B276" s="14"/>
      <c r="C276" s="3"/>
      <c r="D276" s="3">
        <f>SUM(D256:D275)</f>
        <v>23</v>
      </c>
      <c r="E276" s="21">
        <f>SUM(E256:E275)</f>
        <v>63460</v>
      </c>
      <c r="F276" s="17">
        <v>1</v>
      </c>
      <c r="G276" s="21">
        <f>SUM(G256:G275)</f>
        <v>8878648.5999999996</v>
      </c>
      <c r="H276" s="17">
        <v>1</v>
      </c>
      <c r="I276" s="21">
        <f>SUM(I256:I275)</f>
        <v>4837293.7850000001</v>
      </c>
      <c r="J276" s="17">
        <v>1</v>
      </c>
      <c r="K276" s="21">
        <f>SUM(K256:K275)</f>
        <v>17601</v>
      </c>
      <c r="L276" s="17">
        <v>1</v>
      </c>
      <c r="M276" s="21">
        <f>SUM(M256:M275)</f>
        <v>538147</v>
      </c>
      <c r="N276" s="17">
        <v>1</v>
      </c>
      <c r="P276" s="28"/>
      <c r="Q276" s="24"/>
      <c r="R276" s="24"/>
      <c r="S276" s="24"/>
    </row>
    <row r="277" spans="1:19" ht="15" customHeight="1" x14ac:dyDescent="0.25">
      <c r="A277" s="62" t="s">
        <v>258</v>
      </c>
      <c r="B277" s="13" t="s">
        <v>259</v>
      </c>
      <c r="C277" s="63" t="s">
        <v>88</v>
      </c>
      <c r="D277" s="2">
        <v>1</v>
      </c>
      <c r="E277" s="33">
        <v>0</v>
      </c>
      <c r="F277" s="33">
        <f>E277/911.74</f>
        <v>0</v>
      </c>
      <c r="G277" s="33">
        <v>516123.03599999996</v>
      </c>
      <c r="H277" s="33">
        <f>G277/179561.03</f>
        <v>2.8743599655225855</v>
      </c>
      <c r="I277" s="33">
        <v>239532.70100759997</v>
      </c>
      <c r="J277" s="33">
        <f>I277/86040.41</f>
        <v>2.7839558296804952</v>
      </c>
      <c r="K277" s="2">
        <v>0</v>
      </c>
      <c r="L277" s="33">
        <f>K277/395.01</f>
        <v>0</v>
      </c>
      <c r="M277" s="33">
        <f>I277*0.12</f>
        <v>28743.924120911997</v>
      </c>
      <c r="N277" s="33">
        <f>M277/10673.94</f>
        <v>2.6929066606062988</v>
      </c>
      <c r="P277" s="24"/>
      <c r="Q277" s="24"/>
      <c r="R277" s="24"/>
      <c r="S277" s="24"/>
    </row>
    <row r="278" spans="1:19" ht="15" customHeight="1" x14ac:dyDescent="0.25">
      <c r="A278" s="62"/>
      <c r="B278" s="13" t="s">
        <v>260</v>
      </c>
      <c r="C278" s="63"/>
      <c r="D278" s="2">
        <v>2</v>
      </c>
      <c r="E278" s="33">
        <v>26000</v>
      </c>
      <c r="F278" s="33">
        <f t="shared" ref="F278:F304" si="76">E278/911.74</f>
        <v>28.516901748305436</v>
      </c>
      <c r="G278" s="33">
        <v>1511905.78</v>
      </c>
      <c r="H278" s="33">
        <f t="shared" ref="H278:H304" si="77">G278/179561.03</f>
        <v>8.4200106225721694</v>
      </c>
      <c r="I278" s="33">
        <v>701675.47249800013</v>
      </c>
      <c r="J278" s="33">
        <f t="shared" ref="J278:J304" si="78">I278/86040.41</f>
        <v>8.1551851333344434</v>
      </c>
      <c r="K278" s="2">
        <v>7400</v>
      </c>
      <c r="L278" s="33">
        <f t="shared" ref="L278:L304" si="79">K278/395.01</f>
        <v>18.733702944229261</v>
      </c>
      <c r="M278" s="33">
        <f t="shared" ref="M278:M285" si="80">I278*0.12</f>
        <v>84201.056699760011</v>
      </c>
      <c r="N278" s="33">
        <f t="shared" ref="N278:N304" si="81">M278/10673.94</f>
        <v>7.8884701150428063</v>
      </c>
      <c r="P278" s="24"/>
      <c r="Q278" s="24"/>
      <c r="R278" s="24"/>
      <c r="S278" s="24"/>
    </row>
    <row r="279" spans="1:19" ht="15" customHeight="1" x14ac:dyDescent="0.25">
      <c r="A279" s="62"/>
      <c r="B279" s="13" t="s">
        <v>261</v>
      </c>
      <c r="C279" s="63"/>
      <c r="D279" s="2">
        <v>1</v>
      </c>
      <c r="E279" s="33">
        <v>0</v>
      </c>
      <c r="F279" s="33">
        <f t="shared" si="76"/>
        <v>0</v>
      </c>
      <c r="G279" s="33">
        <v>391861.57999999996</v>
      </c>
      <c r="H279" s="33">
        <f t="shared" si="77"/>
        <v>2.1823308765827414</v>
      </c>
      <c r="I279" s="33">
        <v>181862.95927799999</v>
      </c>
      <c r="J279" s="33">
        <f t="shared" si="78"/>
        <v>2.1136923833580057</v>
      </c>
      <c r="K279" s="2">
        <v>0</v>
      </c>
      <c r="L279" s="33">
        <f t="shared" si="79"/>
        <v>0</v>
      </c>
      <c r="M279" s="33">
        <f t="shared" si="80"/>
        <v>21823.555113359998</v>
      </c>
      <c r="N279" s="33">
        <f t="shared" si="81"/>
        <v>2.0445641546945175</v>
      </c>
      <c r="P279" s="24"/>
      <c r="Q279" s="24"/>
      <c r="R279" s="24"/>
      <c r="S279" s="24"/>
    </row>
    <row r="280" spans="1:19" ht="15" customHeight="1" x14ac:dyDescent="0.25">
      <c r="A280" s="62"/>
      <c r="B280" s="13" t="s">
        <v>262</v>
      </c>
      <c r="C280" s="63"/>
      <c r="D280" s="2">
        <v>1</v>
      </c>
      <c r="E280" s="33">
        <v>0</v>
      </c>
      <c r="F280" s="33">
        <f t="shared" si="76"/>
        <v>0</v>
      </c>
      <c r="G280" s="33">
        <v>23930.763999999999</v>
      </c>
      <c r="H280" s="33">
        <f t="shared" si="77"/>
        <v>0.13327370643841818</v>
      </c>
      <c r="I280" s="33">
        <v>11106.2675724</v>
      </c>
      <c r="J280" s="33">
        <f t="shared" si="78"/>
        <v>0.12908199266367978</v>
      </c>
      <c r="K280" s="2">
        <v>0</v>
      </c>
      <c r="L280" s="33">
        <f t="shared" si="79"/>
        <v>0</v>
      </c>
      <c r="M280" s="33">
        <v>0</v>
      </c>
      <c r="N280" s="33">
        <f t="shared" si="81"/>
        <v>0</v>
      </c>
      <c r="P280" s="24"/>
      <c r="Q280" s="24"/>
      <c r="R280" s="24"/>
      <c r="S280" s="24"/>
    </row>
    <row r="281" spans="1:19" ht="15" customHeight="1" x14ac:dyDescent="0.25">
      <c r="A281" s="62"/>
      <c r="B281" s="13" t="s">
        <v>263</v>
      </c>
      <c r="C281" s="63"/>
      <c r="D281" s="2">
        <v>1</v>
      </c>
      <c r="E281" s="33">
        <v>0</v>
      </c>
      <c r="F281" s="33">
        <f t="shared" si="76"/>
        <v>0</v>
      </c>
      <c r="G281" s="33">
        <v>153393.9</v>
      </c>
      <c r="H281" s="33">
        <f t="shared" si="77"/>
        <v>0.85427166462567072</v>
      </c>
      <c r="I281" s="33">
        <v>71190.108989999993</v>
      </c>
      <c r="J281" s="33">
        <f t="shared" si="78"/>
        <v>0.82740318171426652</v>
      </c>
      <c r="K281" s="2">
        <v>0</v>
      </c>
      <c r="L281" s="33">
        <f t="shared" si="79"/>
        <v>0</v>
      </c>
      <c r="M281" s="33">
        <f t="shared" si="80"/>
        <v>8542.813078799998</v>
      </c>
      <c r="N281" s="33">
        <f t="shared" si="81"/>
        <v>0.80034299225965277</v>
      </c>
      <c r="P281" s="24"/>
      <c r="Q281" s="24"/>
      <c r="R281" s="24"/>
      <c r="S281" s="24"/>
    </row>
    <row r="282" spans="1:19" ht="15" customHeight="1" x14ac:dyDescent="0.25">
      <c r="A282" s="62"/>
      <c r="B282" s="13" t="s">
        <v>60</v>
      </c>
      <c r="C282" s="63"/>
      <c r="D282" s="2">
        <v>1</v>
      </c>
      <c r="E282" s="33">
        <v>0</v>
      </c>
      <c r="F282" s="33">
        <f t="shared" si="76"/>
        <v>0</v>
      </c>
      <c r="G282" s="33">
        <v>1335905.7799999998</v>
      </c>
      <c r="H282" s="33">
        <f t="shared" si="77"/>
        <v>7.4398424869806092</v>
      </c>
      <c r="I282" s="33">
        <v>619993.87249800004</v>
      </c>
      <c r="J282" s="33">
        <f t="shared" si="78"/>
        <v>7.2058451662189897</v>
      </c>
      <c r="K282" s="2">
        <v>0</v>
      </c>
      <c r="L282" s="33">
        <f t="shared" si="79"/>
        <v>0</v>
      </c>
      <c r="M282" s="33">
        <f t="shared" si="80"/>
        <v>74399.264699759995</v>
      </c>
      <c r="N282" s="33">
        <f t="shared" si="81"/>
        <v>6.9701782752910351</v>
      </c>
      <c r="P282" s="24"/>
      <c r="Q282" s="24"/>
      <c r="R282" s="24"/>
      <c r="S282" s="24"/>
    </row>
    <row r="283" spans="1:19" ht="15" customHeight="1" x14ac:dyDescent="0.25">
      <c r="A283" s="62"/>
      <c r="B283" s="13" t="s">
        <v>264</v>
      </c>
      <c r="C283" s="63"/>
      <c r="D283" s="2">
        <v>1</v>
      </c>
      <c r="E283" s="33">
        <v>0</v>
      </c>
      <c r="F283" s="33">
        <f t="shared" si="76"/>
        <v>0</v>
      </c>
      <c r="G283" s="33">
        <v>991860.18799999985</v>
      </c>
      <c r="H283" s="33">
        <f t="shared" si="77"/>
        <v>5.5238054047696199</v>
      </c>
      <c r="I283" s="33">
        <v>399620.46974520001</v>
      </c>
      <c r="J283" s="33">
        <f t="shared" si="78"/>
        <v>4.6445672416623767</v>
      </c>
      <c r="K283" s="2">
        <v>0</v>
      </c>
      <c r="L283" s="33">
        <f t="shared" si="79"/>
        <v>0</v>
      </c>
      <c r="M283" s="33">
        <f t="shared" si="80"/>
        <v>47954.456369423999</v>
      </c>
      <c r="N283" s="33">
        <f t="shared" si="81"/>
        <v>4.4926668474269107</v>
      </c>
      <c r="P283" s="24"/>
      <c r="Q283" s="24"/>
      <c r="R283" s="24"/>
      <c r="S283" s="24"/>
    </row>
    <row r="284" spans="1:19" ht="15" customHeight="1" x14ac:dyDescent="0.25">
      <c r="A284" s="62"/>
      <c r="B284" s="13" t="s">
        <v>265</v>
      </c>
      <c r="C284" s="63"/>
      <c r="D284" s="2">
        <v>2</v>
      </c>
      <c r="E284" s="33">
        <v>37500</v>
      </c>
      <c r="F284" s="33">
        <f t="shared" si="76"/>
        <v>41.130146752363615</v>
      </c>
      <c r="G284" s="33">
        <v>1247905.78</v>
      </c>
      <c r="H284" s="33">
        <f t="shared" si="77"/>
        <v>6.9497584191848309</v>
      </c>
      <c r="I284" s="33">
        <v>502781.23876200011</v>
      </c>
      <c r="J284" s="33">
        <f t="shared" si="78"/>
        <v>5.843547686046592</v>
      </c>
      <c r="K284" s="2">
        <v>0</v>
      </c>
      <c r="L284" s="33">
        <f t="shared" si="79"/>
        <v>0</v>
      </c>
      <c r="M284" s="33">
        <f t="shared" si="80"/>
        <v>60333.748651440008</v>
      </c>
      <c r="N284" s="33">
        <f t="shared" si="81"/>
        <v>5.6524346821735936</v>
      </c>
      <c r="P284" s="24"/>
      <c r="Q284" s="24"/>
      <c r="R284" s="24"/>
      <c r="S284" s="24"/>
    </row>
    <row r="285" spans="1:19" ht="15" customHeight="1" x14ac:dyDescent="0.25">
      <c r="A285" s="62"/>
      <c r="B285" s="13" t="s">
        <v>266</v>
      </c>
      <c r="C285" s="63"/>
      <c r="D285" s="2">
        <v>1</v>
      </c>
      <c r="E285" s="33">
        <v>0</v>
      </c>
      <c r="F285" s="33">
        <f t="shared" si="76"/>
        <v>0</v>
      </c>
      <c r="G285" s="33">
        <v>516123.03599999996</v>
      </c>
      <c r="H285" s="33">
        <f t="shared" si="77"/>
        <v>2.8743599655225855</v>
      </c>
      <c r="I285" s="33">
        <v>207945.97120439998</v>
      </c>
      <c r="J285" s="33">
        <f t="shared" si="78"/>
        <v>2.4168407752171333</v>
      </c>
      <c r="K285" s="2">
        <v>0</v>
      </c>
      <c r="L285" s="33">
        <f t="shared" si="79"/>
        <v>0</v>
      </c>
      <c r="M285" s="33">
        <f t="shared" si="80"/>
        <v>24953.516544527996</v>
      </c>
      <c r="N285" s="33">
        <f t="shared" si="81"/>
        <v>2.3377980899768964</v>
      </c>
      <c r="P285" s="24"/>
      <c r="Q285" s="24"/>
      <c r="R285" s="24"/>
      <c r="S285" s="24"/>
    </row>
    <row r="286" spans="1:19" ht="15" customHeight="1" x14ac:dyDescent="0.25">
      <c r="A286" s="62"/>
      <c r="B286" s="13" t="s">
        <v>267</v>
      </c>
      <c r="C286" s="63"/>
      <c r="D286" s="2">
        <v>1</v>
      </c>
      <c r="E286" s="33">
        <v>0</v>
      </c>
      <c r="F286" s="33">
        <f t="shared" si="76"/>
        <v>0</v>
      </c>
      <c r="G286" s="33">
        <v>240208.32</v>
      </c>
      <c r="H286" s="33">
        <f t="shared" si="77"/>
        <v>1.3377530748180717</v>
      </c>
      <c r="I286" s="33">
        <v>96779.932128000015</v>
      </c>
      <c r="J286" s="33">
        <f t="shared" si="78"/>
        <v>1.1248195136215646</v>
      </c>
      <c r="K286" s="2">
        <v>0</v>
      </c>
      <c r="L286" s="33">
        <f t="shared" si="79"/>
        <v>0</v>
      </c>
      <c r="M286" s="33">
        <v>0</v>
      </c>
      <c r="N286" s="33">
        <f t="shared" si="81"/>
        <v>0</v>
      </c>
      <c r="P286" s="24"/>
      <c r="Q286" s="24"/>
      <c r="R286" s="24"/>
      <c r="S286" s="24"/>
    </row>
    <row r="287" spans="1:19" ht="15" customHeight="1" x14ac:dyDescent="0.25">
      <c r="A287" s="62"/>
      <c r="B287" s="13" t="s">
        <v>268</v>
      </c>
      <c r="C287" s="63"/>
      <c r="D287" s="2">
        <v>1</v>
      </c>
      <c r="E287" s="33">
        <v>0</v>
      </c>
      <c r="F287" s="33">
        <f t="shared" si="76"/>
        <v>0</v>
      </c>
      <c r="G287" s="33">
        <v>391861.57999999996</v>
      </c>
      <c r="H287" s="33">
        <f t="shared" si="77"/>
        <v>2.1823308765827414</v>
      </c>
      <c r="I287" s="33">
        <v>157881.03058199998</v>
      </c>
      <c r="J287" s="33">
        <f t="shared" si="78"/>
        <v>1.8349637174206861</v>
      </c>
      <c r="K287" s="2">
        <v>0</v>
      </c>
      <c r="L287" s="33">
        <f t="shared" si="79"/>
        <v>0</v>
      </c>
      <c r="M287" s="33">
        <v>0</v>
      </c>
      <c r="N287" s="33">
        <f t="shared" si="81"/>
        <v>0</v>
      </c>
      <c r="P287" s="24"/>
      <c r="Q287" s="24"/>
      <c r="R287" s="24"/>
      <c r="S287" s="24"/>
    </row>
    <row r="288" spans="1:19" ht="15" customHeight="1" x14ac:dyDescent="0.25">
      <c r="A288" s="62"/>
      <c r="B288" s="13" t="s">
        <v>269</v>
      </c>
      <c r="C288" s="63"/>
      <c r="D288" s="2">
        <v>1</v>
      </c>
      <c r="E288" s="33">
        <v>0</v>
      </c>
      <c r="F288" s="33">
        <f t="shared" si="76"/>
        <v>0</v>
      </c>
      <c r="G288" s="33">
        <v>23930.763999999999</v>
      </c>
      <c r="H288" s="33">
        <f t="shared" si="77"/>
        <v>0.13327370643841818</v>
      </c>
      <c r="I288" s="33">
        <v>9641.7048156000001</v>
      </c>
      <c r="J288" s="33">
        <f t="shared" si="78"/>
        <v>0.11206019143330442</v>
      </c>
      <c r="K288" s="2">
        <v>0</v>
      </c>
      <c r="L288" s="33">
        <f t="shared" si="79"/>
        <v>0</v>
      </c>
      <c r="M288" s="33">
        <v>0</v>
      </c>
      <c r="N288" s="33">
        <f t="shared" si="81"/>
        <v>0</v>
      </c>
      <c r="P288" s="24"/>
      <c r="Q288" s="24"/>
      <c r="R288" s="24"/>
      <c r="S288" s="24"/>
    </row>
    <row r="289" spans="1:19" ht="15" customHeight="1" x14ac:dyDescent="0.25">
      <c r="A289" s="62"/>
      <c r="B289" s="13" t="s">
        <v>270</v>
      </c>
      <c r="C289" s="63"/>
      <c r="D289" s="2">
        <v>1</v>
      </c>
      <c r="E289" s="33">
        <v>0</v>
      </c>
      <c r="F289" s="33">
        <f t="shared" si="76"/>
        <v>0</v>
      </c>
      <c r="G289" s="33">
        <v>153393.9</v>
      </c>
      <c r="H289" s="33">
        <f t="shared" si="77"/>
        <v>0.85427166462567072</v>
      </c>
      <c r="I289" s="33">
        <v>61802.402309999998</v>
      </c>
      <c r="J289" s="33">
        <f t="shared" si="78"/>
        <v>0.7182950698398578</v>
      </c>
      <c r="K289" s="2">
        <v>0</v>
      </c>
      <c r="L289" s="33">
        <f t="shared" si="79"/>
        <v>0</v>
      </c>
      <c r="M289" s="33">
        <v>0</v>
      </c>
      <c r="N289" s="33">
        <f t="shared" si="81"/>
        <v>0</v>
      </c>
      <c r="P289" s="24"/>
      <c r="Q289" s="24"/>
      <c r="R289" s="24"/>
      <c r="S289" s="24"/>
    </row>
    <row r="290" spans="1:19" ht="15" customHeight="1" x14ac:dyDescent="0.25">
      <c r="A290" s="62"/>
      <c r="B290" s="13" t="s">
        <v>271</v>
      </c>
      <c r="C290" s="63"/>
      <c r="D290" s="2">
        <v>1</v>
      </c>
      <c r="E290" s="33">
        <v>0</v>
      </c>
      <c r="F290" s="33">
        <f t="shared" si="76"/>
        <v>0</v>
      </c>
      <c r="G290" s="33">
        <v>319994.40000000002</v>
      </c>
      <c r="H290" s="33">
        <f t="shared" si="77"/>
        <v>1.7820926957257932</v>
      </c>
      <c r="I290" s="33">
        <v>128925.74376000001</v>
      </c>
      <c r="J290" s="33">
        <f t="shared" si="78"/>
        <v>1.4984324663259974</v>
      </c>
      <c r="K290" s="2">
        <v>0</v>
      </c>
      <c r="L290" s="33">
        <f t="shared" si="79"/>
        <v>0</v>
      </c>
      <c r="M290" s="33">
        <v>0</v>
      </c>
      <c r="N290" s="33">
        <f t="shared" si="81"/>
        <v>0</v>
      </c>
      <c r="P290" s="24"/>
      <c r="Q290" s="24"/>
      <c r="R290" s="24"/>
      <c r="S290" s="24"/>
    </row>
    <row r="291" spans="1:19" ht="15" customHeight="1" x14ac:dyDescent="0.25">
      <c r="A291" s="62"/>
      <c r="B291" s="13" t="s">
        <v>272</v>
      </c>
      <c r="C291" s="63"/>
      <c r="D291" s="2">
        <v>2</v>
      </c>
      <c r="E291" s="33">
        <v>17006</v>
      </c>
      <c r="F291" s="33">
        <f t="shared" si="76"/>
        <v>18.652247351218548</v>
      </c>
      <c r="G291" s="33">
        <v>1423905.78</v>
      </c>
      <c r="H291" s="33">
        <f t="shared" si="77"/>
        <v>7.9299265547763902</v>
      </c>
      <c r="I291" s="33">
        <v>573691.63876200013</v>
      </c>
      <c r="J291" s="33">
        <f t="shared" si="78"/>
        <v>6.667699965190776</v>
      </c>
      <c r="K291" s="2">
        <v>18079</v>
      </c>
      <c r="L291" s="33">
        <f t="shared" si="79"/>
        <v>45.768461557935247</v>
      </c>
      <c r="M291" s="33">
        <f>I291*0.14</f>
        <v>80316.829426680022</v>
      </c>
      <c r="N291" s="33">
        <f t="shared" si="81"/>
        <v>7.5245719412588059</v>
      </c>
      <c r="P291" s="24"/>
      <c r="Q291" s="24"/>
      <c r="R291" s="24"/>
      <c r="S291" s="24"/>
    </row>
    <row r="292" spans="1:19" ht="15" customHeight="1" x14ac:dyDescent="0.25">
      <c r="A292" s="62"/>
      <c r="B292" s="13" t="s">
        <v>273</v>
      </c>
      <c r="C292" s="63"/>
      <c r="D292" s="2">
        <v>1</v>
      </c>
      <c r="E292" s="33">
        <v>0</v>
      </c>
      <c r="F292" s="33">
        <f t="shared" si="76"/>
        <v>0</v>
      </c>
      <c r="G292" s="33">
        <v>516123.03599999996</v>
      </c>
      <c r="H292" s="33">
        <f t="shared" si="77"/>
        <v>2.8743599655225855</v>
      </c>
      <c r="I292" s="33">
        <v>207945.97120439998</v>
      </c>
      <c r="J292" s="33">
        <f t="shared" si="78"/>
        <v>2.4168407752171333</v>
      </c>
      <c r="K292" s="2">
        <v>0</v>
      </c>
      <c r="L292" s="33">
        <f t="shared" si="79"/>
        <v>0</v>
      </c>
      <c r="M292" s="33">
        <f t="shared" ref="M292:M304" si="82">I292*0.14</f>
        <v>29112.435968615999</v>
      </c>
      <c r="N292" s="33">
        <f t="shared" si="81"/>
        <v>2.7274311049730464</v>
      </c>
      <c r="P292" s="24"/>
      <c r="Q292" s="24"/>
      <c r="R292" s="24"/>
      <c r="S292" s="24"/>
    </row>
    <row r="293" spans="1:19" ht="15" customHeight="1" x14ac:dyDescent="0.25">
      <c r="A293" s="62"/>
      <c r="B293" s="13" t="s">
        <v>274</v>
      </c>
      <c r="C293" s="63"/>
      <c r="D293" s="2">
        <v>1</v>
      </c>
      <c r="E293" s="33">
        <v>0</v>
      </c>
      <c r="F293" s="33">
        <f t="shared" si="76"/>
        <v>0</v>
      </c>
      <c r="G293" s="33">
        <v>240208.32</v>
      </c>
      <c r="H293" s="33">
        <f t="shared" si="77"/>
        <v>1.3377530748180717</v>
      </c>
      <c r="I293" s="33">
        <v>129856.61779200002</v>
      </c>
      <c r="J293" s="33">
        <f t="shared" si="78"/>
        <v>1.5092514992896944</v>
      </c>
      <c r="K293" s="2">
        <v>0</v>
      </c>
      <c r="L293" s="33">
        <f t="shared" si="79"/>
        <v>0</v>
      </c>
      <c r="M293" s="33">
        <f t="shared" si="82"/>
        <v>18179.926490880003</v>
      </c>
      <c r="N293" s="33">
        <f t="shared" si="81"/>
        <v>1.7032067344279622</v>
      </c>
      <c r="P293" s="24"/>
      <c r="Q293" s="24"/>
      <c r="R293" s="24"/>
      <c r="S293" s="24"/>
    </row>
    <row r="294" spans="1:19" ht="15" customHeight="1" x14ac:dyDescent="0.25">
      <c r="A294" s="62"/>
      <c r="B294" s="13" t="s">
        <v>275</v>
      </c>
      <c r="C294" s="63"/>
      <c r="D294" s="2">
        <v>1</v>
      </c>
      <c r="E294" s="33">
        <v>0</v>
      </c>
      <c r="F294" s="33">
        <f t="shared" si="76"/>
        <v>0</v>
      </c>
      <c r="G294" s="33">
        <v>391861.57999999996</v>
      </c>
      <c r="H294" s="33">
        <f t="shared" si="77"/>
        <v>2.1823308765827414</v>
      </c>
      <c r="I294" s="33">
        <v>211840.37014799999</v>
      </c>
      <c r="J294" s="33">
        <f t="shared" si="78"/>
        <v>2.462103215779655</v>
      </c>
      <c r="K294" s="2">
        <v>0</v>
      </c>
      <c r="L294" s="33">
        <f t="shared" si="79"/>
        <v>0</v>
      </c>
      <c r="M294" s="33">
        <f t="shared" si="82"/>
        <v>29657.651820720002</v>
      </c>
      <c r="N294" s="33">
        <f t="shared" si="81"/>
        <v>2.7785102615079342</v>
      </c>
      <c r="P294" s="24"/>
      <c r="Q294" s="24"/>
      <c r="R294" s="24"/>
      <c r="S294" s="24"/>
    </row>
    <row r="295" spans="1:19" ht="15" customHeight="1" x14ac:dyDescent="0.25">
      <c r="A295" s="62"/>
      <c r="B295" s="13" t="s">
        <v>276</v>
      </c>
      <c r="C295" s="63"/>
      <c r="D295" s="2">
        <v>1</v>
      </c>
      <c r="E295" s="33">
        <v>0</v>
      </c>
      <c r="F295" s="33">
        <f t="shared" si="76"/>
        <v>0</v>
      </c>
      <c r="G295" s="33">
        <v>23930.763999999999</v>
      </c>
      <c r="H295" s="33">
        <f t="shared" si="77"/>
        <v>0.13327370643841818</v>
      </c>
      <c r="I295" s="33">
        <v>12936.971018400001</v>
      </c>
      <c r="J295" s="33">
        <f t="shared" si="78"/>
        <v>0.15035924420164898</v>
      </c>
      <c r="K295" s="2">
        <v>0</v>
      </c>
      <c r="L295" s="33">
        <f t="shared" si="79"/>
        <v>0</v>
      </c>
      <c r="M295" s="33">
        <v>0</v>
      </c>
      <c r="N295" s="33">
        <f t="shared" si="81"/>
        <v>0</v>
      </c>
      <c r="P295" s="24"/>
      <c r="Q295" s="24"/>
      <c r="R295" s="24"/>
      <c r="S295" s="24"/>
    </row>
    <row r="296" spans="1:19" ht="15" customHeight="1" x14ac:dyDescent="0.25">
      <c r="A296" s="62"/>
      <c r="B296" s="13" t="s">
        <v>277</v>
      </c>
      <c r="C296" s="63"/>
      <c r="D296" s="2">
        <v>1</v>
      </c>
      <c r="E296" s="33">
        <v>0</v>
      </c>
      <c r="F296" s="33">
        <f t="shared" si="76"/>
        <v>0</v>
      </c>
      <c r="G296" s="33">
        <v>153393.9</v>
      </c>
      <c r="H296" s="33">
        <f t="shared" si="77"/>
        <v>0.85427166462567072</v>
      </c>
      <c r="I296" s="33">
        <v>82924.742339999997</v>
      </c>
      <c r="J296" s="33">
        <f t="shared" si="78"/>
        <v>0.96378832155727745</v>
      </c>
      <c r="K296" s="2">
        <v>0</v>
      </c>
      <c r="L296" s="33">
        <f t="shared" si="79"/>
        <v>0</v>
      </c>
      <c r="M296" s="33">
        <v>0</v>
      </c>
      <c r="N296" s="33">
        <f t="shared" si="81"/>
        <v>0</v>
      </c>
      <c r="P296" s="24"/>
      <c r="Q296" s="24"/>
      <c r="R296" s="24"/>
      <c r="S296" s="24"/>
    </row>
    <row r="297" spans="1:19" x14ac:dyDescent="0.25">
      <c r="A297" s="62"/>
      <c r="B297" s="13" t="s">
        <v>278</v>
      </c>
      <c r="C297" s="63"/>
      <c r="D297" s="2">
        <v>1</v>
      </c>
      <c r="E297" s="33">
        <v>0</v>
      </c>
      <c r="F297" s="33">
        <f t="shared" si="76"/>
        <v>0</v>
      </c>
      <c r="G297" s="33">
        <v>516123.03599999996</v>
      </c>
      <c r="H297" s="33">
        <f t="shared" si="77"/>
        <v>2.8743599655225855</v>
      </c>
      <c r="I297" s="33">
        <v>279016.11326159997</v>
      </c>
      <c r="J297" s="33">
        <f t="shared" si="78"/>
        <v>3.2428496477596975</v>
      </c>
      <c r="K297" s="2">
        <v>0</v>
      </c>
      <c r="L297" s="33">
        <f t="shared" si="79"/>
        <v>0</v>
      </c>
      <c r="M297" s="33">
        <f t="shared" si="82"/>
        <v>39062.255856623997</v>
      </c>
      <c r="N297" s="33">
        <f t="shared" si="81"/>
        <v>3.6595911028752264</v>
      </c>
      <c r="P297" s="24"/>
      <c r="Q297" s="24"/>
      <c r="R297" s="24"/>
      <c r="S297" s="24"/>
    </row>
    <row r="298" spans="1:19" x14ac:dyDescent="0.25">
      <c r="A298" s="62"/>
      <c r="B298" s="13" t="s">
        <v>279</v>
      </c>
      <c r="C298" s="63"/>
      <c r="D298" s="2">
        <v>1</v>
      </c>
      <c r="E298" s="33">
        <v>0</v>
      </c>
      <c r="F298" s="33">
        <f t="shared" si="76"/>
        <v>0</v>
      </c>
      <c r="G298" s="33">
        <v>240208.32</v>
      </c>
      <c r="H298" s="33">
        <f t="shared" si="77"/>
        <v>1.3377530748180717</v>
      </c>
      <c r="I298" s="33">
        <v>129856.61779200002</v>
      </c>
      <c r="J298" s="33">
        <f t="shared" si="78"/>
        <v>1.5092514992896944</v>
      </c>
      <c r="K298" s="2">
        <v>0</v>
      </c>
      <c r="L298" s="33">
        <f t="shared" si="79"/>
        <v>0</v>
      </c>
      <c r="M298" s="33">
        <f t="shared" si="82"/>
        <v>18179.926490880003</v>
      </c>
      <c r="N298" s="33">
        <f t="shared" si="81"/>
        <v>1.7032067344279622</v>
      </c>
      <c r="P298" s="24"/>
      <c r="Q298" s="24"/>
      <c r="R298" s="24"/>
      <c r="S298" s="24"/>
    </row>
    <row r="299" spans="1:19" x14ac:dyDescent="0.25">
      <c r="A299" s="62"/>
      <c r="B299" s="13" t="s">
        <v>280</v>
      </c>
      <c r="C299" s="63"/>
      <c r="D299" s="2">
        <v>1</v>
      </c>
      <c r="E299" s="33">
        <v>0</v>
      </c>
      <c r="F299" s="33">
        <f t="shared" si="76"/>
        <v>0</v>
      </c>
      <c r="G299" s="33">
        <v>391861.57999999996</v>
      </c>
      <c r="H299" s="33">
        <f t="shared" si="77"/>
        <v>2.1823308765827414</v>
      </c>
      <c r="I299" s="33">
        <v>211840.37014799999</v>
      </c>
      <c r="J299" s="33">
        <f t="shared" si="78"/>
        <v>2.462103215779655</v>
      </c>
      <c r="K299" s="2">
        <v>0</v>
      </c>
      <c r="L299" s="33">
        <f t="shared" si="79"/>
        <v>0</v>
      </c>
      <c r="M299" s="33">
        <f t="shared" si="82"/>
        <v>29657.651820720002</v>
      </c>
      <c r="N299" s="33">
        <f t="shared" si="81"/>
        <v>2.7785102615079342</v>
      </c>
      <c r="P299" s="24"/>
      <c r="Q299" s="24"/>
      <c r="R299" s="24"/>
      <c r="S299" s="24"/>
    </row>
    <row r="300" spans="1:19" x14ac:dyDescent="0.25">
      <c r="A300" s="62"/>
      <c r="B300" s="13" t="s">
        <v>281</v>
      </c>
      <c r="C300" s="63"/>
      <c r="D300" s="2">
        <v>1</v>
      </c>
      <c r="E300" s="33">
        <v>0</v>
      </c>
      <c r="F300" s="33">
        <f t="shared" si="76"/>
        <v>0</v>
      </c>
      <c r="G300" s="33">
        <v>1335905.7799999998</v>
      </c>
      <c r="H300" s="33">
        <f t="shared" si="77"/>
        <v>7.4398424869806092</v>
      </c>
      <c r="I300" s="33">
        <v>722190.66466799995</v>
      </c>
      <c r="J300" s="33">
        <f t="shared" si="78"/>
        <v>8.393621841969372</v>
      </c>
      <c r="K300" s="2">
        <v>0</v>
      </c>
      <c r="L300" s="33">
        <f t="shared" si="79"/>
        <v>0</v>
      </c>
      <c r="M300" s="33">
        <f t="shared" si="82"/>
        <v>101106.69305352001</v>
      </c>
      <c r="N300" s="33">
        <f t="shared" si="81"/>
        <v>9.4722935536006396</v>
      </c>
      <c r="P300" s="24"/>
      <c r="Q300" s="24"/>
      <c r="R300" s="24"/>
      <c r="S300" s="24"/>
    </row>
    <row r="301" spans="1:19" x14ac:dyDescent="0.25">
      <c r="A301" s="62"/>
      <c r="B301" s="13" t="s">
        <v>282</v>
      </c>
      <c r="C301" s="63"/>
      <c r="D301" s="2">
        <v>1</v>
      </c>
      <c r="E301" s="33">
        <v>0</v>
      </c>
      <c r="F301" s="33">
        <f t="shared" si="76"/>
        <v>0</v>
      </c>
      <c r="G301" s="33">
        <v>991860.18799999985</v>
      </c>
      <c r="H301" s="33">
        <f t="shared" si="77"/>
        <v>5.5238054047696199</v>
      </c>
      <c r="I301" s="33">
        <v>536199.61763280001</v>
      </c>
      <c r="J301" s="33">
        <f t="shared" si="78"/>
        <v>6.2319509824836956</v>
      </c>
      <c r="K301" s="2">
        <v>0</v>
      </c>
      <c r="L301" s="33">
        <f t="shared" si="79"/>
        <v>0</v>
      </c>
      <c r="M301" s="33">
        <f t="shared" si="82"/>
        <v>75067.94646859201</v>
      </c>
      <c r="N301" s="33">
        <f t="shared" si="81"/>
        <v>7.0328244742421271</v>
      </c>
      <c r="P301" s="24"/>
      <c r="Q301" s="24"/>
      <c r="R301" s="24"/>
      <c r="S301" s="24"/>
    </row>
    <row r="302" spans="1:19" x14ac:dyDescent="0.25">
      <c r="A302" s="62"/>
      <c r="B302" s="13" t="s">
        <v>283</v>
      </c>
      <c r="C302" s="63"/>
      <c r="D302" s="2">
        <v>2</v>
      </c>
      <c r="E302" s="2">
        <v>10668</v>
      </c>
      <c r="F302" s="33">
        <f t="shared" si="76"/>
        <v>11.700704148112401</v>
      </c>
      <c r="G302" s="33">
        <v>1848556.16</v>
      </c>
      <c r="H302" s="33">
        <f t="shared" si="77"/>
        <v>10.294862755019839</v>
      </c>
      <c r="I302" s="33">
        <v>999329.460096</v>
      </c>
      <c r="J302" s="33">
        <f t="shared" si="78"/>
        <v>11.614652464998713</v>
      </c>
      <c r="K302" s="2">
        <v>14022</v>
      </c>
      <c r="L302" s="33">
        <f t="shared" si="79"/>
        <v>35.497835497835496</v>
      </c>
      <c r="M302" s="33">
        <f t="shared" si="82"/>
        <v>139906.12441344</v>
      </c>
      <c r="N302" s="33">
        <f t="shared" si="81"/>
        <v>13.107261649722595</v>
      </c>
      <c r="P302" s="24"/>
      <c r="Q302" s="24"/>
      <c r="R302" s="24"/>
      <c r="S302" s="24"/>
    </row>
    <row r="303" spans="1:19" x14ac:dyDescent="0.25">
      <c r="A303" s="62"/>
      <c r="B303" s="13" t="s">
        <v>284</v>
      </c>
      <c r="C303" s="63"/>
      <c r="D303" s="2">
        <v>1</v>
      </c>
      <c r="E303" s="33">
        <v>0</v>
      </c>
      <c r="F303" s="33">
        <f t="shared" si="76"/>
        <v>0</v>
      </c>
      <c r="G303" s="33">
        <v>1071905.78</v>
      </c>
      <c r="H303" s="33">
        <f t="shared" si="77"/>
        <v>5.9695902835932717</v>
      </c>
      <c r="I303" s="33">
        <v>579472.26466800016</v>
      </c>
      <c r="J303" s="33">
        <f t="shared" si="78"/>
        <v>6.7348849763500676</v>
      </c>
      <c r="K303" s="2">
        <v>0</v>
      </c>
      <c r="L303" s="33">
        <f t="shared" si="79"/>
        <v>0</v>
      </c>
      <c r="M303" s="33">
        <f t="shared" si="82"/>
        <v>81126.117053520036</v>
      </c>
      <c r="N303" s="33">
        <f t="shared" si="81"/>
        <v>7.6003909571835733</v>
      </c>
      <c r="P303" s="24"/>
      <c r="Q303" s="24"/>
      <c r="R303" s="24"/>
      <c r="S303" s="24"/>
    </row>
    <row r="304" spans="1:19" x14ac:dyDescent="0.25">
      <c r="A304" s="62"/>
      <c r="B304" s="13" t="s">
        <v>285</v>
      </c>
      <c r="C304" s="63"/>
      <c r="D304" s="2">
        <v>1</v>
      </c>
      <c r="E304" s="33">
        <v>0</v>
      </c>
      <c r="F304" s="33">
        <f t="shared" si="76"/>
        <v>0</v>
      </c>
      <c r="G304" s="33">
        <v>991860.18799999985</v>
      </c>
      <c r="H304" s="33">
        <f t="shared" si="77"/>
        <v>5.5238054047696199</v>
      </c>
      <c r="I304" s="33">
        <v>536199.61763280001</v>
      </c>
      <c r="J304" s="33">
        <f t="shared" si="78"/>
        <v>6.2319509824836956</v>
      </c>
      <c r="K304" s="2">
        <v>0</v>
      </c>
      <c r="L304" s="33">
        <f t="shared" si="79"/>
        <v>0</v>
      </c>
      <c r="M304" s="33">
        <f t="shared" si="82"/>
        <v>75067.94646859201</v>
      </c>
      <c r="N304" s="33">
        <f t="shared" si="81"/>
        <v>7.0328244742421271</v>
      </c>
      <c r="P304" s="24"/>
      <c r="Q304" s="24"/>
      <c r="R304" s="24"/>
      <c r="S304" s="24"/>
    </row>
    <row r="305" spans="1:19" ht="15.75" x14ac:dyDescent="0.25">
      <c r="A305" s="3"/>
      <c r="B305" s="14"/>
      <c r="C305" s="3"/>
      <c r="D305" s="3">
        <f>SUM(D277:D304)</f>
        <v>32</v>
      </c>
      <c r="E305" s="21">
        <f>SUM(E277:E304)</f>
        <v>91174</v>
      </c>
      <c r="F305" s="17">
        <v>1</v>
      </c>
      <c r="G305" s="21">
        <f>SUM(G277:G304)</f>
        <v>17956103.220000003</v>
      </c>
      <c r="H305" s="17">
        <v>1</v>
      </c>
      <c r="I305" s="21">
        <f>SUM(I277:I304)</f>
        <v>8604040.912315201</v>
      </c>
      <c r="J305" s="17">
        <v>1</v>
      </c>
      <c r="K305" s="21">
        <f>SUM(K277:K304)</f>
        <v>39501</v>
      </c>
      <c r="L305" s="17">
        <v>1</v>
      </c>
      <c r="M305" s="21">
        <f>SUM(M277:M304)</f>
        <v>1067393.8406107682</v>
      </c>
      <c r="N305" s="17">
        <v>1</v>
      </c>
      <c r="P305" s="28"/>
      <c r="Q305" s="24"/>
      <c r="R305" s="24"/>
      <c r="S305" s="24"/>
    </row>
    <row r="306" spans="1:19" ht="15" customHeight="1" x14ac:dyDescent="0.25">
      <c r="A306" s="62" t="s">
        <v>286</v>
      </c>
      <c r="B306" s="13" t="s">
        <v>287</v>
      </c>
      <c r="C306" s="63" t="s">
        <v>88</v>
      </c>
      <c r="D306" s="2">
        <v>1</v>
      </c>
      <c r="E306" s="2">
        <v>0</v>
      </c>
      <c r="F306" s="33">
        <f>E306/398.05</f>
        <v>0</v>
      </c>
      <c r="G306" s="33">
        <v>189307.6</v>
      </c>
      <c r="H306" s="33">
        <f>G306/79587.96</f>
        <v>2.3785959584841727</v>
      </c>
      <c r="I306" s="33">
        <v>92760.724000000002</v>
      </c>
      <c r="J306" s="33">
        <f>I306/45319.84</f>
        <v>2.0468016656722532</v>
      </c>
      <c r="K306" s="2">
        <v>0</v>
      </c>
      <c r="L306" s="33">
        <f>K306/159.24</f>
        <v>0</v>
      </c>
      <c r="M306" s="33">
        <v>0</v>
      </c>
      <c r="N306" s="33">
        <f>M306/8772.46</f>
        <v>0</v>
      </c>
      <c r="P306" s="24"/>
      <c r="Q306" s="24"/>
      <c r="R306" s="24"/>
      <c r="S306" s="24"/>
    </row>
    <row r="307" spans="1:19" ht="15" customHeight="1" x14ac:dyDescent="0.25">
      <c r="A307" s="62"/>
      <c r="B307" s="13" t="s">
        <v>288</v>
      </c>
      <c r="C307" s="63"/>
      <c r="D307" s="2">
        <v>1</v>
      </c>
      <c r="E307" s="2">
        <v>0</v>
      </c>
      <c r="F307" s="33">
        <f t="shared" ref="F307:F324" si="83">E307/398.05</f>
        <v>0</v>
      </c>
      <c r="G307" s="33">
        <v>630469.72600000002</v>
      </c>
      <c r="H307" s="33">
        <f t="shared" ref="H307:H324" si="84">G307/79587.96</f>
        <v>7.9216721473951583</v>
      </c>
      <c r="I307" s="33">
        <v>308930.16574000003</v>
      </c>
      <c r="J307" s="33">
        <f t="shared" ref="J307:J324" si="85">I307/45319.84</f>
        <v>6.8166649692496719</v>
      </c>
      <c r="K307" s="2">
        <v>0</v>
      </c>
      <c r="L307" s="33">
        <f t="shared" ref="L307:L324" si="86">K307/159.24</f>
        <v>0</v>
      </c>
      <c r="M307" s="33">
        <v>77232.541435000006</v>
      </c>
      <c r="N307" s="33">
        <f t="shared" ref="N307:N324" si="87">M307/8772.46</f>
        <v>8.803977611183182</v>
      </c>
      <c r="P307" s="24"/>
      <c r="Q307" s="24"/>
      <c r="R307" s="24"/>
      <c r="S307" s="24"/>
    </row>
    <row r="308" spans="1:19" ht="15" customHeight="1" x14ac:dyDescent="0.25">
      <c r="A308" s="62"/>
      <c r="B308" s="13" t="s">
        <v>289</v>
      </c>
      <c r="C308" s="63"/>
      <c r="D308" s="2">
        <v>1</v>
      </c>
      <c r="E308" s="2">
        <v>0</v>
      </c>
      <c r="F308" s="33">
        <f t="shared" si="83"/>
        <v>0</v>
      </c>
      <c r="G308" s="33">
        <v>291847.12</v>
      </c>
      <c r="H308" s="33">
        <f t="shared" si="84"/>
        <v>3.6669757586449001</v>
      </c>
      <c r="I308" s="33">
        <v>143005.0888</v>
      </c>
      <c r="J308" s="33">
        <f t="shared" si="85"/>
        <v>3.1554632319972886</v>
      </c>
      <c r="K308" s="2">
        <v>0</v>
      </c>
      <c r="L308" s="33">
        <f t="shared" si="86"/>
        <v>0</v>
      </c>
      <c r="M308" s="33">
        <v>35751.272199999999</v>
      </c>
      <c r="N308" s="33">
        <f t="shared" si="87"/>
        <v>4.0753987137017438</v>
      </c>
      <c r="P308" s="24"/>
      <c r="Q308" s="24"/>
      <c r="R308" s="24"/>
      <c r="S308" s="24"/>
    </row>
    <row r="309" spans="1:19" ht="15" customHeight="1" x14ac:dyDescent="0.25">
      <c r="A309" s="62"/>
      <c r="B309" s="13" t="s">
        <v>290</v>
      </c>
      <c r="C309" s="63"/>
      <c r="D309" s="2">
        <v>1</v>
      </c>
      <c r="E309" s="2">
        <v>9605</v>
      </c>
      <c r="F309" s="33">
        <f t="shared" si="83"/>
        <v>24.130134405225473</v>
      </c>
      <c r="G309" s="33">
        <v>478027.03</v>
      </c>
      <c r="H309" s="33">
        <f t="shared" si="84"/>
        <v>6.0062731850395457</v>
      </c>
      <c r="I309" s="33">
        <v>234233.24470000001</v>
      </c>
      <c r="J309" s="33">
        <f t="shared" si="85"/>
        <v>5.168448182959164</v>
      </c>
      <c r="K309" s="2">
        <v>3311</v>
      </c>
      <c r="L309" s="33">
        <f t="shared" si="86"/>
        <v>20.792514443607132</v>
      </c>
      <c r="M309" s="33">
        <v>58558.311175000003</v>
      </c>
      <c r="N309" s="33">
        <f t="shared" si="87"/>
        <v>6.6752440222012988</v>
      </c>
      <c r="P309" s="24"/>
      <c r="Q309" s="24"/>
      <c r="R309" s="24"/>
      <c r="S309" s="24"/>
    </row>
    <row r="310" spans="1:19" ht="15" customHeight="1" x14ac:dyDescent="0.25">
      <c r="A310" s="62"/>
      <c r="B310" s="13" t="s">
        <v>291</v>
      </c>
      <c r="C310" s="63"/>
      <c r="D310" s="2">
        <v>1</v>
      </c>
      <c r="E310" s="2">
        <v>0</v>
      </c>
      <c r="F310" s="33">
        <f t="shared" si="83"/>
        <v>0</v>
      </c>
      <c r="G310" s="33">
        <v>26415.574000000001</v>
      </c>
      <c r="H310" s="33">
        <f t="shared" si="84"/>
        <v>0.33190414731072387</v>
      </c>
      <c r="I310" s="33">
        <v>12943.63126</v>
      </c>
      <c r="J310" s="33">
        <f t="shared" si="85"/>
        <v>0.28560628766562285</v>
      </c>
      <c r="K310" s="2">
        <v>0</v>
      </c>
      <c r="L310" s="33">
        <f t="shared" si="86"/>
        <v>0</v>
      </c>
      <c r="M310" s="33">
        <v>0</v>
      </c>
      <c r="N310" s="33">
        <f t="shared" si="87"/>
        <v>0</v>
      </c>
      <c r="P310" s="24"/>
      <c r="Q310" s="24"/>
      <c r="R310" s="24"/>
      <c r="S310" s="24"/>
    </row>
    <row r="311" spans="1:19" ht="15" customHeight="1" x14ac:dyDescent="0.25">
      <c r="A311" s="62"/>
      <c r="B311" s="13" t="s">
        <v>292</v>
      </c>
      <c r="C311" s="63"/>
      <c r="D311" s="2">
        <v>1</v>
      </c>
      <c r="E311" s="2">
        <v>0</v>
      </c>
      <c r="F311" s="33">
        <f t="shared" si="83"/>
        <v>0</v>
      </c>
      <c r="G311" s="33">
        <v>185302.15000000002</v>
      </c>
      <c r="H311" s="33">
        <f t="shared" si="84"/>
        <v>2.3282686225403944</v>
      </c>
      <c r="I311" s="33">
        <v>90798.053500000009</v>
      </c>
      <c r="J311" s="33">
        <f t="shared" si="85"/>
        <v>2.0034945732376817</v>
      </c>
      <c r="K311" s="2">
        <v>0</v>
      </c>
      <c r="L311" s="33">
        <f t="shared" si="86"/>
        <v>0</v>
      </c>
      <c r="M311" s="33">
        <v>22699.513375000002</v>
      </c>
      <c r="N311" s="33">
        <f t="shared" si="87"/>
        <v>2.5875881309233675</v>
      </c>
      <c r="P311" s="24"/>
      <c r="Q311" s="24"/>
      <c r="R311" s="24"/>
      <c r="S311" s="24"/>
    </row>
    <row r="312" spans="1:19" ht="15" customHeight="1" x14ac:dyDescent="0.25">
      <c r="A312" s="62"/>
      <c r="B312" s="13" t="s">
        <v>293</v>
      </c>
      <c r="C312" s="63"/>
      <c r="D312" s="2">
        <v>1</v>
      </c>
      <c r="E312" s="2">
        <v>3600</v>
      </c>
      <c r="F312" s="33">
        <f t="shared" si="83"/>
        <v>9.0440899384499431</v>
      </c>
      <c r="G312" s="33">
        <v>369766.40000000002</v>
      </c>
      <c r="H312" s="33">
        <f t="shared" si="84"/>
        <v>4.6460092707489924</v>
      </c>
      <c r="I312" s="33">
        <v>207069.18400000004</v>
      </c>
      <c r="J312" s="33">
        <f t="shared" si="85"/>
        <v>4.5690625562667488</v>
      </c>
      <c r="K312" s="2">
        <v>0</v>
      </c>
      <c r="L312" s="33">
        <f t="shared" si="86"/>
        <v>0</v>
      </c>
      <c r="M312" s="33">
        <v>0</v>
      </c>
      <c r="N312" s="33">
        <f t="shared" si="87"/>
        <v>0</v>
      </c>
      <c r="P312" s="24"/>
      <c r="Q312" s="24"/>
      <c r="R312" s="24"/>
      <c r="S312" s="24"/>
    </row>
    <row r="313" spans="1:19" ht="15" customHeight="1" x14ac:dyDescent="0.25">
      <c r="A313" s="62"/>
      <c r="B313" s="13" t="s">
        <v>294</v>
      </c>
      <c r="C313" s="63"/>
      <c r="D313" s="2">
        <v>2</v>
      </c>
      <c r="E313" s="25">
        <v>9300</v>
      </c>
      <c r="F313" s="33">
        <f t="shared" si="83"/>
        <v>23.363899007662354</v>
      </c>
      <c r="G313" s="33">
        <v>1260446</v>
      </c>
      <c r="H313" s="33">
        <f t="shared" si="84"/>
        <v>15.837144211260094</v>
      </c>
      <c r="I313" s="33">
        <v>705849.76</v>
      </c>
      <c r="J313" s="33">
        <f t="shared" si="85"/>
        <v>15.574851102739993</v>
      </c>
      <c r="K313" s="2">
        <v>2691</v>
      </c>
      <c r="L313" s="33">
        <f t="shared" si="86"/>
        <v>16.899020346646569</v>
      </c>
      <c r="M313" s="33">
        <v>116462</v>
      </c>
      <c r="N313" s="33">
        <f t="shared" si="87"/>
        <v>13.275865606682734</v>
      </c>
      <c r="P313" s="24"/>
      <c r="Q313" s="24"/>
      <c r="R313" s="24"/>
      <c r="S313" s="24"/>
    </row>
    <row r="314" spans="1:19" ht="15" customHeight="1" x14ac:dyDescent="0.25">
      <c r="A314" s="62"/>
      <c r="B314" s="13" t="s">
        <v>295</v>
      </c>
      <c r="C314" s="63"/>
      <c r="D314" s="2">
        <v>1</v>
      </c>
      <c r="E314" s="2">
        <v>0</v>
      </c>
      <c r="F314" s="33">
        <f t="shared" si="83"/>
        <v>0</v>
      </c>
      <c r="G314" s="33">
        <v>485482.02999999997</v>
      </c>
      <c r="H314" s="33">
        <f t="shared" si="84"/>
        <v>6.09994313210189</v>
      </c>
      <c r="I314" s="33">
        <v>271869.93680000002</v>
      </c>
      <c r="J314" s="33">
        <f t="shared" si="85"/>
        <v>5.9989165186814439</v>
      </c>
      <c r="K314" s="2">
        <v>2022</v>
      </c>
      <c r="L314" s="33">
        <f t="shared" si="86"/>
        <v>12.697814619442351</v>
      </c>
      <c r="M314" s="33">
        <v>67967.484200000006</v>
      </c>
      <c r="N314" s="33">
        <f t="shared" si="87"/>
        <v>7.747824920261821</v>
      </c>
      <c r="P314" s="24"/>
      <c r="Q314" s="24"/>
      <c r="R314" s="24"/>
      <c r="S314" s="24"/>
    </row>
    <row r="315" spans="1:19" ht="15" customHeight="1" x14ac:dyDescent="0.25">
      <c r="A315" s="62"/>
      <c r="B315" s="13" t="s">
        <v>296</v>
      </c>
      <c r="C315" s="63"/>
      <c r="D315" s="2">
        <v>1</v>
      </c>
      <c r="E315" s="2">
        <v>0</v>
      </c>
      <c r="F315" s="33">
        <f t="shared" si="83"/>
        <v>0</v>
      </c>
      <c r="G315" s="33">
        <v>33930.574000000001</v>
      </c>
      <c r="H315" s="33">
        <f t="shared" si="84"/>
        <v>0.42632797724680965</v>
      </c>
      <c r="I315" s="33">
        <v>19001.121440000003</v>
      </c>
      <c r="J315" s="33">
        <f t="shared" si="85"/>
        <v>0.41926717834837907</v>
      </c>
      <c r="K315" s="2">
        <v>0</v>
      </c>
      <c r="L315" s="33">
        <f t="shared" si="86"/>
        <v>0</v>
      </c>
      <c r="M315" s="33">
        <v>4750.2803600000007</v>
      </c>
      <c r="N315" s="33">
        <f t="shared" si="87"/>
        <v>0.54149923282636814</v>
      </c>
      <c r="P315" s="24"/>
      <c r="Q315" s="24"/>
      <c r="R315" s="24"/>
      <c r="S315" s="24"/>
    </row>
    <row r="316" spans="1:19" ht="15" customHeight="1" x14ac:dyDescent="0.25">
      <c r="A316" s="62"/>
      <c r="B316" s="13" t="s">
        <v>297</v>
      </c>
      <c r="C316" s="63"/>
      <c r="D316" s="2">
        <v>1</v>
      </c>
      <c r="E316" s="2">
        <v>0</v>
      </c>
      <c r="F316" s="33">
        <f t="shared" si="83"/>
        <v>0</v>
      </c>
      <c r="G316" s="33">
        <v>196822.6</v>
      </c>
      <c r="H316" s="33">
        <f t="shared" si="84"/>
        <v>2.4730197884202583</v>
      </c>
      <c r="I316" s="33">
        <v>110220.65600000002</v>
      </c>
      <c r="J316" s="33">
        <f t="shared" si="85"/>
        <v>2.4320618960702425</v>
      </c>
      <c r="K316" s="2">
        <v>0</v>
      </c>
      <c r="L316" s="33">
        <f t="shared" si="86"/>
        <v>0</v>
      </c>
      <c r="M316" s="33">
        <v>0</v>
      </c>
      <c r="N316" s="33">
        <f t="shared" si="87"/>
        <v>0</v>
      </c>
      <c r="P316" s="24"/>
      <c r="Q316" s="24"/>
      <c r="R316" s="24"/>
      <c r="S316" s="24"/>
    </row>
    <row r="317" spans="1:19" ht="15" customHeight="1" x14ac:dyDescent="0.25">
      <c r="A317" s="62"/>
      <c r="B317" s="13" t="s">
        <v>298</v>
      </c>
      <c r="C317" s="63"/>
      <c r="D317" s="2">
        <v>1</v>
      </c>
      <c r="E317" s="2">
        <v>0</v>
      </c>
      <c r="F317" s="33">
        <f t="shared" si="83"/>
        <v>0</v>
      </c>
      <c r="G317" s="33">
        <v>637984.72600000002</v>
      </c>
      <c r="H317" s="33">
        <f t="shared" si="84"/>
        <v>8.0160959773312435</v>
      </c>
      <c r="I317" s="33">
        <v>357271.44656000007</v>
      </c>
      <c r="J317" s="33">
        <f t="shared" si="85"/>
        <v>7.8833342430158648</v>
      </c>
      <c r="K317" s="2">
        <v>0</v>
      </c>
      <c r="L317" s="33">
        <f t="shared" si="86"/>
        <v>0</v>
      </c>
      <c r="M317" s="33">
        <v>89317.861640000017</v>
      </c>
      <c r="N317" s="33">
        <f t="shared" si="87"/>
        <v>10.181620849795841</v>
      </c>
      <c r="P317" s="24"/>
      <c r="Q317" s="24"/>
      <c r="R317" s="24"/>
      <c r="S317" s="24"/>
    </row>
    <row r="318" spans="1:19" ht="15" customHeight="1" x14ac:dyDescent="0.25">
      <c r="A318" s="62"/>
      <c r="B318" s="13" t="s">
        <v>299</v>
      </c>
      <c r="C318" s="63"/>
      <c r="D318" s="2">
        <v>1</v>
      </c>
      <c r="E318" s="2">
        <v>0</v>
      </c>
      <c r="F318" s="33">
        <f t="shared" si="83"/>
        <v>0</v>
      </c>
      <c r="G318" s="33">
        <v>299362.12</v>
      </c>
      <c r="H318" s="33">
        <f t="shared" si="84"/>
        <v>3.7613995885809861</v>
      </c>
      <c r="I318" s="33">
        <v>167642.78720000002</v>
      </c>
      <c r="J318" s="33">
        <f t="shared" si="85"/>
        <v>3.6991036861559978</v>
      </c>
      <c r="K318" s="2">
        <v>0</v>
      </c>
      <c r="L318" s="33">
        <f t="shared" si="86"/>
        <v>0</v>
      </c>
      <c r="M318" s="33">
        <v>41910.696800000005</v>
      </c>
      <c r="N318" s="33">
        <f t="shared" si="87"/>
        <v>4.7775306812456266</v>
      </c>
      <c r="P318" s="24"/>
      <c r="Q318" s="24"/>
      <c r="R318" s="24"/>
      <c r="S318" s="24"/>
    </row>
    <row r="319" spans="1:19" ht="15" customHeight="1" x14ac:dyDescent="0.25">
      <c r="A319" s="62"/>
      <c r="B319" s="13" t="s">
        <v>300</v>
      </c>
      <c r="C319" s="63"/>
      <c r="D319" s="2">
        <v>1</v>
      </c>
      <c r="E319" s="2">
        <v>6300</v>
      </c>
      <c r="F319" s="33">
        <f t="shared" si="83"/>
        <v>15.8271573922874</v>
      </c>
      <c r="G319" s="33">
        <v>485482.02999999997</v>
      </c>
      <c r="H319" s="33">
        <f t="shared" si="84"/>
        <v>6.09994313210189</v>
      </c>
      <c r="I319" s="33">
        <v>305853.6789</v>
      </c>
      <c r="J319" s="33">
        <f t="shared" si="85"/>
        <v>6.748781083516624</v>
      </c>
      <c r="K319" s="2">
        <v>2700</v>
      </c>
      <c r="L319" s="33">
        <f t="shared" si="86"/>
        <v>16.955538809344386</v>
      </c>
      <c r="M319" s="33">
        <v>76463.419725</v>
      </c>
      <c r="N319" s="33">
        <f t="shared" si="87"/>
        <v>8.7163030352945476</v>
      </c>
      <c r="P319" s="24"/>
      <c r="Q319" s="24"/>
      <c r="R319" s="24"/>
      <c r="S319" s="24"/>
    </row>
    <row r="320" spans="1:19" ht="15" customHeight="1" x14ac:dyDescent="0.25">
      <c r="A320" s="62"/>
      <c r="B320" s="13" t="s">
        <v>301</v>
      </c>
      <c r="C320" s="63"/>
      <c r="D320" s="2">
        <v>1</v>
      </c>
      <c r="E320" s="2">
        <v>0</v>
      </c>
      <c r="F320" s="33">
        <f t="shared" si="83"/>
        <v>0</v>
      </c>
      <c r="G320" s="33">
        <v>33930.574000000001</v>
      </c>
      <c r="H320" s="33">
        <f t="shared" si="84"/>
        <v>0.42632797724680965</v>
      </c>
      <c r="I320" s="33">
        <v>21376.261620000001</v>
      </c>
      <c r="J320" s="33">
        <f t="shared" si="85"/>
        <v>0.47167557564192641</v>
      </c>
      <c r="K320" s="2">
        <v>0</v>
      </c>
      <c r="L320" s="33">
        <f t="shared" si="86"/>
        <v>0</v>
      </c>
      <c r="M320" s="33">
        <v>5344.0654050000003</v>
      </c>
      <c r="N320" s="33">
        <f t="shared" si="87"/>
        <v>0.60918663692966402</v>
      </c>
      <c r="P320" s="24"/>
      <c r="Q320" s="24"/>
      <c r="R320" s="24"/>
      <c r="S320" s="24"/>
    </row>
    <row r="321" spans="1:19" ht="15" customHeight="1" x14ac:dyDescent="0.25">
      <c r="A321" s="62"/>
      <c r="B321" s="13" t="s">
        <v>302</v>
      </c>
      <c r="C321" s="63"/>
      <c r="D321" s="2">
        <v>1</v>
      </c>
      <c r="E321" s="2">
        <v>0</v>
      </c>
      <c r="F321" s="33">
        <f t="shared" si="83"/>
        <v>0</v>
      </c>
      <c r="G321" s="33">
        <v>192817.15000000002</v>
      </c>
      <c r="H321" s="33">
        <f t="shared" si="84"/>
        <v>2.4226924524764804</v>
      </c>
      <c r="I321" s="33">
        <v>121474.80450000001</v>
      </c>
      <c r="J321" s="33">
        <f t="shared" si="85"/>
        <v>2.6803890856631449</v>
      </c>
      <c r="K321" s="2">
        <v>0</v>
      </c>
      <c r="L321" s="33">
        <f t="shared" si="86"/>
        <v>0</v>
      </c>
      <c r="M321" s="33">
        <v>30368.701125000003</v>
      </c>
      <c r="N321" s="33">
        <f t="shared" si="87"/>
        <v>3.4618226956862737</v>
      </c>
      <c r="P321" s="24"/>
      <c r="Q321" s="24"/>
      <c r="R321" s="24"/>
      <c r="S321" s="24"/>
    </row>
    <row r="322" spans="1:19" ht="15" customHeight="1" x14ac:dyDescent="0.25">
      <c r="A322" s="62"/>
      <c r="B322" s="13" t="s">
        <v>303</v>
      </c>
      <c r="C322" s="63"/>
      <c r="D322" s="2">
        <v>1</v>
      </c>
      <c r="E322" s="2">
        <v>3600</v>
      </c>
      <c r="F322" s="33">
        <f t="shared" si="83"/>
        <v>9.0440899384499431</v>
      </c>
      <c r="G322" s="33">
        <v>397281.4</v>
      </c>
      <c r="H322" s="33">
        <f t="shared" si="84"/>
        <v>4.9917273919321463</v>
      </c>
      <c r="I322" s="33">
        <v>250287.28200000001</v>
      </c>
      <c r="J322" s="33">
        <f t="shared" si="85"/>
        <v>5.5226867967759823</v>
      </c>
      <c r="K322" s="2">
        <v>0</v>
      </c>
      <c r="L322" s="33">
        <f t="shared" si="86"/>
        <v>0</v>
      </c>
      <c r="M322" s="33">
        <v>62571.820500000002</v>
      </c>
      <c r="N322" s="33">
        <f t="shared" si="87"/>
        <v>7.1327564332011786</v>
      </c>
      <c r="P322" s="24"/>
      <c r="Q322" s="24"/>
      <c r="R322" s="24"/>
      <c r="S322" s="24"/>
    </row>
    <row r="323" spans="1:19" ht="15" customHeight="1" x14ac:dyDescent="0.25">
      <c r="A323" s="62"/>
      <c r="B323" s="13" t="s">
        <v>304</v>
      </c>
      <c r="C323" s="63"/>
      <c r="D323" s="2">
        <v>2</v>
      </c>
      <c r="E323" s="2">
        <v>7400</v>
      </c>
      <c r="F323" s="33">
        <f t="shared" si="83"/>
        <v>18.590629317924883</v>
      </c>
      <c r="G323" s="33">
        <v>1371401</v>
      </c>
      <c r="H323" s="33">
        <f t="shared" si="84"/>
        <v>17.231262115526015</v>
      </c>
      <c r="I323" s="33">
        <v>863982.63</v>
      </c>
      <c r="J323" s="33">
        <f t="shared" si="85"/>
        <v>19.064114745330084</v>
      </c>
      <c r="K323" s="2">
        <v>5200</v>
      </c>
      <c r="L323" s="33">
        <f t="shared" si="86"/>
        <v>32.655111780959558</v>
      </c>
      <c r="M323" s="33">
        <v>125995</v>
      </c>
      <c r="N323" s="33">
        <f t="shared" si="87"/>
        <v>14.362561926757149</v>
      </c>
      <c r="P323" s="24"/>
      <c r="Q323" s="24"/>
      <c r="R323" s="24"/>
      <c r="S323" s="24"/>
    </row>
    <row r="324" spans="1:19" ht="15" customHeight="1" x14ac:dyDescent="0.25">
      <c r="A324" s="62"/>
      <c r="B324" s="13" t="s">
        <v>305</v>
      </c>
      <c r="C324" s="63"/>
      <c r="D324" s="2">
        <v>1</v>
      </c>
      <c r="E324" s="25">
        <v>0</v>
      </c>
      <c r="F324" s="33">
        <f t="shared" si="83"/>
        <v>0</v>
      </c>
      <c r="G324" s="33">
        <v>392720.4</v>
      </c>
      <c r="H324" s="33">
        <f t="shared" si="84"/>
        <v>4.9344197288132525</v>
      </c>
      <c r="I324" s="33">
        <v>247413.85200000001</v>
      </c>
      <c r="J324" s="33">
        <f t="shared" si="85"/>
        <v>5.4592834396590995</v>
      </c>
      <c r="K324" s="25">
        <v>0</v>
      </c>
      <c r="L324" s="33">
        <f t="shared" si="86"/>
        <v>0</v>
      </c>
      <c r="M324" s="33">
        <v>61853.463000000003</v>
      </c>
      <c r="N324" s="33">
        <f t="shared" si="87"/>
        <v>7.0508686275001553</v>
      </c>
      <c r="P324" s="24"/>
      <c r="Q324" s="24"/>
      <c r="R324" s="24"/>
      <c r="S324" s="24"/>
    </row>
    <row r="325" spans="1:19" ht="15" customHeight="1" x14ac:dyDescent="0.25">
      <c r="A325" s="8"/>
      <c r="B325" s="14"/>
      <c r="C325" s="9"/>
      <c r="D325" s="3">
        <f>SUM(D306:D324)</f>
        <v>21</v>
      </c>
      <c r="E325" s="21">
        <f>SUM(E306:E324)</f>
        <v>39805</v>
      </c>
      <c r="F325" s="17">
        <v>1</v>
      </c>
      <c r="G325" s="21">
        <f>SUM(G306:G324)</f>
        <v>7958796.2040000018</v>
      </c>
      <c r="H325" s="17">
        <v>1</v>
      </c>
      <c r="I325" s="21">
        <f>SUM(I306:I324)</f>
        <v>4531984.3090200005</v>
      </c>
      <c r="J325" s="17">
        <v>1</v>
      </c>
      <c r="K325" s="21">
        <f>SUM(K306:K324)</f>
        <v>15924</v>
      </c>
      <c r="L325" s="17">
        <v>1</v>
      </c>
      <c r="M325" s="21">
        <f>SUM(M306:M324)</f>
        <v>877246.43094000011</v>
      </c>
      <c r="N325" s="17">
        <v>1</v>
      </c>
      <c r="P325" s="28"/>
      <c r="Q325" s="24"/>
      <c r="R325" s="24"/>
      <c r="S325" s="24"/>
    </row>
    <row r="326" spans="1:19" ht="19.5" customHeight="1" x14ac:dyDescent="0.25">
      <c r="A326" s="62" t="s">
        <v>553</v>
      </c>
      <c r="B326" s="13" t="s">
        <v>306</v>
      </c>
      <c r="C326" s="63" t="s">
        <v>88</v>
      </c>
      <c r="D326" s="2">
        <v>1</v>
      </c>
      <c r="E326" s="2">
        <v>3000</v>
      </c>
      <c r="F326" s="33">
        <f>E326/90</f>
        <v>33.333333333333336</v>
      </c>
      <c r="G326" s="33">
        <v>192886.14800000002</v>
      </c>
      <c r="H326" s="33">
        <f>G326/21988.07</f>
        <v>8.7723091658340184</v>
      </c>
      <c r="I326" s="33">
        <v>120140.51504000003</v>
      </c>
      <c r="J326" s="33">
        <f>I326/14541.98</f>
        <v>8.2616339067994886</v>
      </c>
      <c r="K326" s="2">
        <v>0</v>
      </c>
      <c r="L326" s="2">
        <v>0</v>
      </c>
      <c r="M326" s="33">
        <v>5878.4719455000004</v>
      </c>
      <c r="N326" s="33">
        <f>M326/3365.74</f>
        <v>1.7465615126242671</v>
      </c>
      <c r="P326" s="24"/>
      <c r="Q326" s="24"/>
      <c r="R326" s="24"/>
      <c r="S326" s="24"/>
    </row>
    <row r="327" spans="1:19" ht="23.25" customHeight="1" x14ac:dyDescent="0.25">
      <c r="A327" s="62"/>
      <c r="B327" s="13" t="s">
        <v>307</v>
      </c>
      <c r="C327" s="63"/>
      <c r="D327" s="2">
        <v>1</v>
      </c>
      <c r="E327" s="2">
        <v>0</v>
      </c>
      <c r="F327" s="33">
        <f t="shared" ref="F327:F332" si="88">E327/90</f>
        <v>0</v>
      </c>
      <c r="G327" s="33">
        <v>625225.03148000001</v>
      </c>
      <c r="H327" s="33">
        <f t="shared" ref="H327:H332" si="89">G327/21988.07</f>
        <v>28.434738996192028</v>
      </c>
      <c r="I327" s="33">
        <v>389425.87675040012</v>
      </c>
      <c r="J327" s="33">
        <f t="shared" ref="J327:J332" si="90">I327/14541.98</f>
        <v>26.779425961966673</v>
      </c>
      <c r="K327" s="2">
        <v>1290</v>
      </c>
      <c r="L327" s="2">
        <v>100</v>
      </c>
      <c r="M327" s="33">
        <v>98249.647804000022</v>
      </c>
      <c r="N327" s="33">
        <f t="shared" ref="N327:N332" si="91">M327/3365.74</f>
        <v>29.191098481760335</v>
      </c>
      <c r="P327" s="24"/>
      <c r="Q327" s="24"/>
      <c r="R327" s="24"/>
      <c r="S327" s="24"/>
    </row>
    <row r="328" spans="1:19" ht="19.5" customHeight="1" x14ac:dyDescent="0.25">
      <c r="A328" s="62"/>
      <c r="B328" s="13" t="s">
        <v>308</v>
      </c>
      <c r="C328" s="63"/>
      <c r="D328" s="2">
        <v>1</v>
      </c>
      <c r="E328" s="2">
        <v>0</v>
      </c>
      <c r="F328" s="33">
        <f t="shared" si="88"/>
        <v>0</v>
      </c>
      <c r="G328" s="33">
        <v>293374.87760000001</v>
      </c>
      <c r="H328" s="33">
        <f t="shared" si="89"/>
        <v>13.342456959614919</v>
      </c>
      <c r="I328" s="33">
        <v>182730.63804800002</v>
      </c>
      <c r="J328" s="33">
        <f t="shared" si="90"/>
        <v>12.565733005271635</v>
      </c>
      <c r="K328" s="2">
        <v>0</v>
      </c>
      <c r="L328" s="2">
        <v>0</v>
      </c>
      <c r="M328" s="33">
        <v>46101.766480000013</v>
      </c>
      <c r="N328" s="33">
        <f t="shared" si="91"/>
        <v>13.6973641695437</v>
      </c>
      <c r="P328" s="24"/>
      <c r="Q328" s="24"/>
      <c r="R328" s="24"/>
      <c r="S328" s="24"/>
    </row>
    <row r="329" spans="1:19" ht="18.75" customHeight="1" x14ac:dyDescent="0.25">
      <c r="A329" s="62"/>
      <c r="B329" s="13" t="s">
        <v>309</v>
      </c>
      <c r="C329" s="63"/>
      <c r="D329" s="2">
        <v>1</v>
      </c>
      <c r="E329" s="2">
        <v>5300</v>
      </c>
      <c r="F329" s="33">
        <f t="shared" si="88"/>
        <v>58.888888888888886</v>
      </c>
      <c r="G329" s="33">
        <v>475772.38939999999</v>
      </c>
      <c r="H329" s="33">
        <f t="shared" si="89"/>
        <v>21.637751262389106</v>
      </c>
      <c r="I329" s="33">
        <v>333380.51000100002</v>
      </c>
      <c r="J329" s="33">
        <f t="shared" si="90"/>
        <v>22.925386364236509</v>
      </c>
      <c r="K329" s="2">
        <v>0</v>
      </c>
      <c r="L329" s="2">
        <v>0</v>
      </c>
      <c r="M329" s="33">
        <v>84109.761697500013</v>
      </c>
      <c r="N329" s="33">
        <f t="shared" si="91"/>
        <v>24.98997596293832</v>
      </c>
      <c r="P329" s="24"/>
      <c r="Q329" s="24"/>
      <c r="R329" s="24"/>
      <c r="S329" s="24"/>
    </row>
    <row r="330" spans="1:19" ht="19.5" customHeight="1" x14ac:dyDescent="0.25">
      <c r="A330" s="62"/>
      <c r="B330" s="13" t="s">
        <v>310</v>
      </c>
      <c r="C330" s="63"/>
      <c r="D330" s="2">
        <v>1</v>
      </c>
      <c r="E330" s="2">
        <v>0</v>
      </c>
      <c r="F330" s="33">
        <f t="shared" si="88"/>
        <v>0</v>
      </c>
      <c r="G330" s="33">
        <v>33251.962520000001</v>
      </c>
      <c r="H330" s="33">
        <f t="shared" si="89"/>
        <v>1.5122729061713922</v>
      </c>
      <c r="I330" s="33">
        <v>23300.125165800004</v>
      </c>
      <c r="J330" s="33">
        <f t="shared" si="90"/>
        <v>1.6022663465222757</v>
      </c>
      <c r="K330" s="2">
        <v>0</v>
      </c>
      <c r="L330" s="2">
        <v>0</v>
      </c>
      <c r="M330" s="33">
        <v>0</v>
      </c>
      <c r="N330" s="33">
        <f t="shared" si="91"/>
        <v>0</v>
      </c>
      <c r="P330" s="24"/>
      <c r="Q330" s="24"/>
      <c r="R330" s="24"/>
      <c r="S330" s="24"/>
    </row>
    <row r="331" spans="1:19" ht="18.75" customHeight="1" x14ac:dyDescent="0.25">
      <c r="A331" s="62"/>
      <c r="B331" s="13" t="s">
        <v>311</v>
      </c>
      <c r="C331" s="63"/>
      <c r="D331" s="2">
        <v>1</v>
      </c>
      <c r="E331" s="2">
        <v>0</v>
      </c>
      <c r="F331" s="33">
        <f t="shared" si="88"/>
        <v>0</v>
      </c>
      <c r="G331" s="33">
        <v>188960.80700000003</v>
      </c>
      <c r="H331" s="33">
        <f t="shared" si="89"/>
        <v>8.5937877676394532</v>
      </c>
      <c r="I331" s="33">
        <v>132407.53690500002</v>
      </c>
      <c r="J331" s="33">
        <f t="shared" si="90"/>
        <v>9.1051931652360967</v>
      </c>
      <c r="K331" s="2">
        <v>0</v>
      </c>
      <c r="L331" s="2">
        <v>0</v>
      </c>
      <c r="M331" s="33">
        <v>33405.571237500008</v>
      </c>
      <c r="N331" s="33">
        <f t="shared" si="91"/>
        <v>9.9251787831205061</v>
      </c>
      <c r="P331" s="24"/>
      <c r="Q331" s="24"/>
      <c r="R331" s="24"/>
      <c r="S331" s="24"/>
    </row>
    <row r="332" spans="1:19" ht="17.25" customHeight="1" x14ac:dyDescent="0.25">
      <c r="A332" s="62"/>
      <c r="B332" s="13" t="s">
        <v>312</v>
      </c>
      <c r="C332" s="63"/>
      <c r="D332" s="2">
        <v>1</v>
      </c>
      <c r="E332" s="2">
        <v>700</v>
      </c>
      <c r="F332" s="33">
        <f t="shared" si="88"/>
        <v>7.7777777777777777</v>
      </c>
      <c r="G332" s="33">
        <v>389335.772</v>
      </c>
      <c r="H332" s="33">
        <f t="shared" si="89"/>
        <v>17.706682396408599</v>
      </c>
      <c r="I332" s="33">
        <v>272813.13738000003</v>
      </c>
      <c r="J332" s="33">
        <f t="shared" si="90"/>
        <v>18.760384581741967</v>
      </c>
      <c r="K332" s="2">
        <v>0</v>
      </c>
      <c r="L332" s="2">
        <v>0</v>
      </c>
      <c r="M332" s="33">
        <v>68829.002550000005</v>
      </c>
      <c r="N332" s="33">
        <f t="shared" si="91"/>
        <v>20.44988696393661</v>
      </c>
      <c r="P332" s="24"/>
      <c r="Q332" s="24"/>
      <c r="R332" s="24"/>
      <c r="S332" s="24"/>
    </row>
    <row r="333" spans="1:19" ht="15.75" x14ac:dyDescent="0.25">
      <c r="A333" s="12"/>
      <c r="B333" s="14"/>
      <c r="C333" s="12"/>
      <c r="D333" s="12">
        <f>SUM(D326:D332)</f>
        <v>7</v>
      </c>
      <c r="E333" s="45">
        <f>SUM(E326:E332)</f>
        <v>9000</v>
      </c>
      <c r="F333" s="17">
        <v>1</v>
      </c>
      <c r="G333" s="45">
        <f>SUM(G326:G332)</f>
        <v>2198806.9880000004</v>
      </c>
      <c r="H333" s="17">
        <v>1</v>
      </c>
      <c r="I333" s="45">
        <f>SUM(I326:I332)</f>
        <v>1454198.3392902003</v>
      </c>
      <c r="J333" s="17">
        <v>1</v>
      </c>
      <c r="K333" s="45">
        <f>SUM(K326:K332)</f>
        <v>1290</v>
      </c>
      <c r="L333" s="17">
        <v>1</v>
      </c>
      <c r="M333" s="21">
        <f>SUM(M326:M332)</f>
        <v>336574.22171450011</v>
      </c>
      <c r="N333" s="17">
        <v>1</v>
      </c>
      <c r="P333" s="28"/>
      <c r="Q333" s="24"/>
      <c r="R333" s="24"/>
      <c r="S333" s="24"/>
    </row>
    <row r="334" spans="1:19" ht="15" customHeight="1" x14ac:dyDescent="0.25">
      <c r="A334" s="62" t="s">
        <v>552</v>
      </c>
      <c r="B334" s="13" t="s">
        <v>317</v>
      </c>
      <c r="C334" s="63" t="s">
        <v>88</v>
      </c>
      <c r="D334" s="2">
        <v>1</v>
      </c>
      <c r="E334" s="2">
        <v>0</v>
      </c>
      <c r="F334" s="33">
        <f>E334/25.2</f>
        <v>0</v>
      </c>
      <c r="G334" s="2">
        <v>430000</v>
      </c>
      <c r="H334" s="33">
        <f>G334/17134.3</f>
        <v>25.09586035029152</v>
      </c>
      <c r="I334" s="2">
        <v>120050</v>
      </c>
      <c r="J334" s="33">
        <f>I334/5021</f>
        <v>23.909579764987054</v>
      </c>
      <c r="K334" s="2">
        <v>0</v>
      </c>
      <c r="L334" s="2">
        <v>0</v>
      </c>
      <c r="M334" s="33">
        <v>93444</v>
      </c>
      <c r="N334" s="33">
        <f>M334/3453.97</f>
        <v>27.054085588467764</v>
      </c>
      <c r="P334" s="24"/>
      <c r="Q334" s="24"/>
      <c r="R334" s="24"/>
      <c r="S334" s="24"/>
    </row>
    <row r="335" spans="1:19" ht="15" customHeight="1" x14ac:dyDescent="0.25">
      <c r="A335" s="62"/>
      <c r="B335" s="13" t="s">
        <v>318</v>
      </c>
      <c r="C335" s="63"/>
      <c r="D335" s="2">
        <v>2</v>
      </c>
      <c r="E335" s="2">
        <v>0</v>
      </c>
      <c r="F335" s="33">
        <f t="shared" ref="F335:F340" si="92">E335/25.2</f>
        <v>0</v>
      </c>
      <c r="G335" s="2">
        <v>501000</v>
      </c>
      <c r="H335" s="33">
        <f t="shared" ref="H335:H340" si="93">G335/17134.3</f>
        <v>29.239595431386167</v>
      </c>
      <c r="I335" s="2">
        <v>118880</v>
      </c>
      <c r="J335" s="33">
        <f t="shared" ref="J335:J339" si="94">I335/5021</f>
        <v>23.676558454491136</v>
      </c>
      <c r="K335" s="2">
        <v>0</v>
      </c>
      <c r="L335" s="2">
        <v>0</v>
      </c>
      <c r="M335" s="33">
        <v>101774</v>
      </c>
      <c r="N335" s="33">
        <f t="shared" ref="N335:N340" si="95">M335/3453.97</f>
        <v>29.465803119309086</v>
      </c>
      <c r="P335" s="24"/>
      <c r="Q335" s="24"/>
      <c r="R335" s="24"/>
      <c r="S335" s="24"/>
    </row>
    <row r="336" spans="1:19" ht="15" customHeight="1" x14ac:dyDescent="0.25">
      <c r="A336" s="62"/>
      <c r="B336" s="13" t="s">
        <v>316</v>
      </c>
      <c r="C336" s="63"/>
      <c r="D336" s="2">
        <v>1</v>
      </c>
      <c r="E336" s="2">
        <v>1050</v>
      </c>
      <c r="F336" s="33">
        <f t="shared" si="92"/>
        <v>41.666666666666664</v>
      </c>
      <c r="G336" s="2">
        <v>270700</v>
      </c>
      <c r="H336" s="33">
        <f t="shared" si="93"/>
        <v>15.798719527497477</v>
      </c>
      <c r="I336" s="2">
        <v>85000</v>
      </c>
      <c r="J336" s="33">
        <f t="shared" si="94"/>
        <v>16.928898625771758</v>
      </c>
      <c r="K336" s="2">
        <v>0</v>
      </c>
      <c r="L336" s="2">
        <v>0</v>
      </c>
      <c r="M336" s="33">
        <v>56805</v>
      </c>
      <c r="N336" s="33">
        <f t="shared" si="95"/>
        <v>16.446292237628004</v>
      </c>
      <c r="P336" s="24"/>
      <c r="Q336" s="24"/>
      <c r="R336" s="24"/>
      <c r="S336" s="24"/>
    </row>
    <row r="337" spans="1:19" ht="15" customHeight="1" x14ac:dyDescent="0.25">
      <c r="A337" s="62"/>
      <c r="B337" s="13" t="s">
        <v>313</v>
      </c>
      <c r="C337" s="63"/>
      <c r="D337" s="2">
        <v>1</v>
      </c>
      <c r="E337" s="2">
        <v>0</v>
      </c>
      <c r="F337" s="33">
        <f t="shared" si="92"/>
        <v>0</v>
      </c>
      <c r="G337" s="2">
        <v>102000</v>
      </c>
      <c r="H337" s="33">
        <f t="shared" si="93"/>
        <v>5.952971524952873</v>
      </c>
      <c r="I337" s="2">
        <v>0</v>
      </c>
      <c r="J337" s="33">
        <f t="shared" si="94"/>
        <v>0</v>
      </c>
      <c r="K337" s="2">
        <v>0</v>
      </c>
      <c r="L337" s="2">
        <v>0</v>
      </c>
      <c r="M337" s="33">
        <v>18004</v>
      </c>
      <c r="N337" s="33">
        <f t="shared" si="95"/>
        <v>5.2125525120368739</v>
      </c>
      <c r="P337" s="24"/>
      <c r="Q337" s="24"/>
      <c r="R337" s="24"/>
      <c r="S337" s="24"/>
    </row>
    <row r="338" spans="1:19" ht="15" customHeight="1" x14ac:dyDescent="0.25">
      <c r="A338" s="62"/>
      <c r="B338" s="13" t="s">
        <v>314</v>
      </c>
      <c r="C338" s="63"/>
      <c r="D338" s="2">
        <v>1</v>
      </c>
      <c r="E338" s="2">
        <v>0</v>
      </c>
      <c r="F338" s="33">
        <f t="shared" si="92"/>
        <v>0</v>
      </c>
      <c r="G338" s="2">
        <v>165050</v>
      </c>
      <c r="H338" s="33">
        <f t="shared" si="93"/>
        <v>9.6327250018967803</v>
      </c>
      <c r="I338" s="25">
        <v>88090</v>
      </c>
      <c r="J338" s="33">
        <f t="shared" si="94"/>
        <v>17.544313881696873</v>
      </c>
      <c r="K338" s="2">
        <v>0</v>
      </c>
      <c r="L338" s="2">
        <v>0</v>
      </c>
      <c r="M338" s="33">
        <v>32505.5</v>
      </c>
      <c r="N338" s="33">
        <f t="shared" si="95"/>
        <v>9.4110545256617755</v>
      </c>
      <c r="P338" s="24"/>
      <c r="Q338" s="24"/>
      <c r="R338" s="24"/>
      <c r="S338" s="24"/>
    </row>
    <row r="339" spans="1:19" ht="15" customHeight="1" x14ac:dyDescent="0.25">
      <c r="A339" s="62"/>
      <c r="B339" s="13" t="s">
        <v>315</v>
      </c>
      <c r="C339" s="63"/>
      <c r="D339" s="2">
        <v>1</v>
      </c>
      <c r="E339" s="2">
        <v>970</v>
      </c>
      <c r="F339" s="33">
        <f t="shared" si="92"/>
        <v>38.492063492063494</v>
      </c>
      <c r="G339" s="2">
        <v>210090</v>
      </c>
      <c r="H339" s="33">
        <f t="shared" si="93"/>
        <v>12.261370467424991</v>
      </c>
      <c r="I339" s="2">
        <v>90080</v>
      </c>
      <c r="J339" s="33">
        <f t="shared" si="94"/>
        <v>17.940649273053175</v>
      </c>
      <c r="K339" s="2">
        <v>0</v>
      </c>
      <c r="L339" s="2">
        <v>0</v>
      </c>
      <c r="M339" s="33">
        <v>42864.700000000004</v>
      </c>
      <c r="N339" s="33">
        <f t="shared" si="95"/>
        <v>12.410269921278994</v>
      </c>
      <c r="P339" s="24"/>
      <c r="Q339" s="24"/>
      <c r="R339" s="24"/>
      <c r="S339" s="24"/>
    </row>
    <row r="340" spans="1:19" ht="15" customHeight="1" x14ac:dyDescent="0.25">
      <c r="A340" s="62"/>
      <c r="B340" s="13" t="s">
        <v>319</v>
      </c>
      <c r="C340" s="63"/>
      <c r="D340" s="2">
        <v>1</v>
      </c>
      <c r="E340" s="2">
        <v>500</v>
      </c>
      <c r="F340" s="33">
        <f t="shared" si="92"/>
        <v>19.841269841269842</v>
      </c>
      <c r="G340" s="2">
        <v>34590</v>
      </c>
      <c r="H340" s="33">
        <f t="shared" si="93"/>
        <v>2.0187576965501948</v>
      </c>
      <c r="I340" s="2">
        <v>88090</v>
      </c>
      <c r="J340" s="33">
        <v>0</v>
      </c>
      <c r="K340" s="2">
        <v>0</v>
      </c>
      <c r="L340" s="2">
        <v>0</v>
      </c>
      <c r="M340" s="33">
        <v>0</v>
      </c>
      <c r="N340" s="33">
        <f t="shared" si="95"/>
        <v>0</v>
      </c>
      <c r="P340" s="24"/>
      <c r="Q340" s="24"/>
      <c r="R340" s="24"/>
      <c r="S340" s="24"/>
    </row>
    <row r="341" spans="1:19" ht="15.75" x14ac:dyDescent="0.25">
      <c r="A341" s="12"/>
      <c r="B341" s="14"/>
      <c r="C341" s="12"/>
      <c r="D341" s="12">
        <f>SUM(D334:D340)</f>
        <v>8</v>
      </c>
      <c r="E341" s="45">
        <f>SUM(E334:E340)</f>
        <v>2520</v>
      </c>
      <c r="F341" s="17">
        <v>1</v>
      </c>
      <c r="G341" s="45">
        <f>SUM(G334:G340)</f>
        <v>1713430</v>
      </c>
      <c r="H341" s="17">
        <v>1</v>
      </c>
      <c r="I341" s="45">
        <f>SUM(I334:I340)</f>
        <v>590190</v>
      </c>
      <c r="J341" s="17">
        <v>1</v>
      </c>
      <c r="K341" s="45">
        <v>0</v>
      </c>
      <c r="L341" s="17">
        <v>1</v>
      </c>
      <c r="M341" s="21">
        <f>SUM(M334:M340)</f>
        <v>345397.2</v>
      </c>
      <c r="N341" s="17">
        <v>1</v>
      </c>
      <c r="P341" s="28"/>
      <c r="Q341" s="24"/>
      <c r="R341" s="24"/>
      <c r="S341" s="24"/>
    </row>
    <row r="342" spans="1:19" ht="26.25" customHeight="1" x14ac:dyDescent="0.25">
      <c r="A342" s="62" t="s">
        <v>320</v>
      </c>
      <c r="B342" s="13" t="s">
        <v>321</v>
      </c>
      <c r="C342" s="63" t="s">
        <v>88</v>
      </c>
      <c r="D342" s="2">
        <v>3</v>
      </c>
      <c r="E342" s="2">
        <v>0</v>
      </c>
      <c r="F342" s="2">
        <v>0</v>
      </c>
      <c r="G342" s="2">
        <v>91500</v>
      </c>
      <c r="H342" s="34">
        <f>G342/3385.5</f>
        <v>27.027027027027028</v>
      </c>
      <c r="I342" s="2">
        <v>31000</v>
      </c>
      <c r="J342" s="33">
        <f>I342/1084.99</f>
        <v>28.571691904994516</v>
      </c>
      <c r="K342" s="2">
        <v>0</v>
      </c>
      <c r="L342" s="2">
        <v>0</v>
      </c>
      <c r="M342" s="25">
        <v>41699</v>
      </c>
      <c r="N342" s="33">
        <f>M342/953.65</f>
        <v>43.725685524039221</v>
      </c>
      <c r="P342" s="24"/>
      <c r="Q342" s="24"/>
      <c r="R342" s="24"/>
      <c r="S342" s="24"/>
    </row>
    <row r="343" spans="1:19" ht="28.5" customHeight="1" x14ac:dyDescent="0.25">
      <c r="A343" s="62"/>
      <c r="B343" s="13" t="s">
        <v>322</v>
      </c>
      <c r="C343" s="63"/>
      <c r="D343" s="2">
        <v>1</v>
      </c>
      <c r="E343" s="2">
        <v>0</v>
      </c>
      <c r="F343" s="2">
        <v>0</v>
      </c>
      <c r="G343" s="2">
        <v>124300</v>
      </c>
      <c r="H343" s="34">
        <f t="shared" ref="H343:H344" si="96">G343/3385.5</f>
        <v>36.715403928518683</v>
      </c>
      <c r="I343" s="2">
        <v>49600</v>
      </c>
      <c r="J343" s="33">
        <f t="shared" ref="J343:J344" si="97">I343/1084.99</f>
        <v>45.714707047991226</v>
      </c>
      <c r="K343" s="2">
        <v>0</v>
      </c>
      <c r="L343" s="2">
        <v>0</v>
      </c>
      <c r="M343" s="25">
        <v>0</v>
      </c>
      <c r="N343" s="33">
        <f t="shared" ref="N343:N344" si="98">M343/953.65</f>
        <v>0</v>
      </c>
      <c r="P343" s="24"/>
      <c r="Q343" s="24"/>
      <c r="R343" s="24"/>
      <c r="S343" s="24"/>
    </row>
    <row r="344" spans="1:19" ht="36.75" customHeight="1" x14ac:dyDescent="0.25">
      <c r="A344" s="62"/>
      <c r="B344" s="13" t="s">
        <v>323</v>
      </c>
      <c r="C344" s="63"/>
      <c r="D344" s="2">
        <v>1</v>
      </c>
      <c r="E344" s="2">
        <v>0</v>
      </c>
      <c r="F344" s="2">
        <v>0</v>
      </c>
      <c r="G344" s="2">
        <v>122750</v>
      </c>
      <c r="H344" s="34">
        <f t="shared" si="96"/>
        <v>36.257569044454293</v>
      </c>
      <c r="I344" s="2">
        <v>27899</v>
      </c>
      <c r="J344" s="33">
        <f t="shared" si="97"/>
        <v>25.713601047014258</v>
      </c>
      <c r="K344" s="2">
        <v>0</v>
      </c>
      <c r="L344" s="2">
        <v>0</v>
      </c>
      <c r="M344" s="25">
        <v>53666</v>
      </c>
      <c r="N344" s="33">
        <f t="shared" si="98"/>
        <v>56.274314475960786</v>
      </c>
      <c r="P344" s="24"/>
      <c r="Q344" s="24"/>
      <c r="R344" s="24"/>
      <c r="S344" s="24"/>
    </row>
    <row r="345" spans="1:19" ht="15" customHeight="1" x14ac:dyDescent="0.25">
      <c r="A345" s="3"/>
      <c r="B345" s="15"/>
      <c r="C345" s="3"/>
      <c r="D345" s="12">
        <v>5</v>
      </c>
      <c r="E345" s="21">
        <v>0</v>
      </c>
      <c r="F345" s="17">
        <v>1</v>
      </c>
      <c r="G345" s="21">
        <f>SUM(G342:G344)</f>
        <v>338550</v>
      </c>
      <c r="H345" s="17">
        <v>1</v>
      </c>
      <c r="I345" s="21">
        <f>SUM(I342:I344)</f>
        <v>108499</v>
      </c>
      <c r="J345" s="17">
        <v>1</v>
      </c>
      <c r="K345" s="21">
        <v>0</v>
      </c>
      <c r="L345" s="17">
        <v>1</v>
      </c>
      <c r="M345" s="21">
        <f>SUM(M342:M344)</f>
        <v>95365</v>
      </c>
      <c r="N345" s="17">
        <v>1</v>
      </c>
      <c r="P345" s="28"/>
      <c r="Q345" s="24"/>
      <c r="R345" s="24"/>
      <c r="S345" s="24"/>
    </row>
    <row r="346" spans="1:19" ht="15" customHeight="1" x14ac:dyDescent="0.25">
      <c r="A346" s="62" t="s">
        <v>324</v>
      </c>
      <c r="B346" s="13" t="s">
        <v>22</v>
      </c>
      <c r="C346" s="63" t="s">
        <v>88</v>
      </c>
      <c r="D346" s="2">
        <v>2</v>
      </c>
      <c r="E346" s="2">
        <v>11300</v>
      </c>
      <c r="F346" s="33">
        <f>E346/550.46</f>
        <v>20.528285434000651</v>
      </c>
      <c r="G346" s="33">
        <v>398831.45</v>
      </c>
      <c r="H346" s="33">
        <f>G346/35067.58</f>
        <v>11.373224214502399</v>
      </c>
      <c r="I346" s="33">
        <v>275547.97499999998</v>
      </c>
      <c r="J346" s="33">
        <f>I346/23565.83</f>
        <v>11.692691282250612</v>
      </c>
      <c r="K346" s="2">
        <v>0</v>
      </c>
      <c r="L346" s="33">
        <f>K346/58.1</f>
        <v>0</v>
      </c>
      <c r="M346" s="25">
        <v>40979.4</v>
      </c>
      <c r="N346" s="33">
        <f>M346/3019.36</f>
        <v>13.572213979121402</v>
      </c>
      <c r="P346" s="24"/>
      <c r="Q346" s="24"/>
      <c r="R346" s="24"/>
      <c r="S346" s="24"/>
    </row>
    <row r="347" spans="1:19" ht="15" customHeight="1" x14ac:dyDescent="0.25">
      <c r="A347" s="62"/>
      <c r="B347" s="13" t="s">
        <v>333</v>
      </c>
      <c r="C347" s="63"/>
      <c r="D347" s="2">
        <v>1</v>
      </c>
      <c r="E347" s="2">
        <v>0</v>
      </c>
      <c r="F347" s="33">
        <f t="shared" ref="F347:F359" si="99">E347/550.46</f>
        <v>0</v>
      </c>
      <c r="G347" s="33">
        <v>24356.41</v>
      </c>
      <c r="H347" s="33">
        <f t="shared" ref="H347:H360" si="100">G347/35067.58</f>
        <v>0.69455633950218398</v>
      </c>
      <c r="I347" s="33">
        <v>7175.2549999999974</v>
      </c>
      <c r="J347" s="33">
        <f t="shared" ref="J347:J360" si="101">I347/23565.83</f>
        <v>0.30447707549447639</v>
      </c>
      <c r="K347" s="2">
        <v>0</v>
      </c>
      <c r="L347" s="33">
        <f t="shared" ref="L347:L360" si="102">K347/58.1</f>
        <v>0</v>
      </c>
      <c r="M347" s="25">
        <v>0</v>
      </c>
      <c r="N347" s="33">
        <f t="shared" ref="N347:N360" si="103">M347/3019.36</f>
        <v>0</v>
      </c>
      <c r="P347" s="24"/>
      <c r="Q347" s="24"/>
      <c r="R347" s="24"/>
      <c r="S347" s="24"/>
    </row>
    <row r="348" spans="1:19" ht="15" customHeight="1" x14ac:dyDescent="0.25">
      <c r="A348" s="62"/>
      <c r="B348" s="13" t="s">
        <v>243</v>
      </c>
      <c r="C348" s="63"/>
      <c r="D348" s="2">
        <v>1</v>
      </c>
      <c r="E348" s="2">
        <v>0</v>
      </c>
      <c r="F348" s="33">
        <f t="shared" si="99"/>
        <v>0</v>
      </c>
      <c r="G348" s="33">
        <v>156122.25</v>
      </c>
      <c r="H348" s="33">
        <f t="shared" si="100"/>
        <v>4.4520394620900552</v>
      </c>
      <c r="I348" s="33">
        <v>92247.375</v>
      </c>
      <c r="J348" s="33">
        <f t="shared" si="101"/>
        <v>3.9144547423112188</v>
      </c>
      <c r="K348" s="2">
        <v>0</v>
      </c>
      <c r="L348" s="33">
        <f t="shared" si="102"/>
        <v>0</v>
      </c>
      <c r="M348" s="25">
        <v>4203.1500000000005</v>
      </c>
      <c r="N348" s="33">
        <f t="shared" si="103"/>
        <v>1.3920665306555033</v>
      </c>
      <c r="P348" s="24"/>
      <c r="Q348" s="24"/>
      <c r="R348" s="24"/>
      <c r="S348" s="24"/>
    </row>
    <row r="349" spans="1:19" ht="15" customHeight="1" x14ac:dyDescent="0.25">
      <c r="A349" s="62"/>
      <c r="B349" s="13" t="s">
        <v>325</v>
      </c>
      <c r="C349" s="63"/>
      <c r="D349" s="2">
        <v>1</v>
      </c>
      <c r="E349" s="2">
        <v>3600</v>
      </c>
      <c r="F349" s="33">
        <f t="shared" si="99"/>
        <v>6.5399847400356066</v>
      </c>
      <c r="G349" s="33">
        <v>325686</v>
      </c>
      <c r="H349" s="33">
        <f t="shared" si="100"/>
        <v>9.2873816784619869</v>
      </c>
      <c r="I349" s="33">
        <v>201723</v>
      </c>
      <c r="J349" s="33">
        <f t="shared" si="101"/>
        <v>8.5599785791546488</v>
      </c>
      <c r="K349" s="2">
        <v>0</v>
      </c>
      <c r="L349" s="33">
        <f t="shared" si="102"/>
        <v>0</v>
      </c>
      <c r="M349" s="25">
        <v>0</v>
      </c>
      <c r="N349" s="33">
        <f t="shared" si="103"/>
        <v>0</v>
      </c>
      <c r="P349" s="24"/>
      <c r="Q349" s="24"/>
      <c r="R349" s="24"/>
      <c r="S349" s="24"/>
    </row>
    <row r="350" spans="1:19" ht="15" customHeight="1" x14ac:dyDescent="0.25">
      <c r="A350" s="62"/>
      <c r="B350" s="13" t="s">
        <v>244</v>
      </c>
      <c r="C350" s="63"/>
      <c r="D350" s="2">
        <v>1</v>
      </c>
      <c r="E350" s="2">
        <v>0</v>
      </c>
      <c r="F350" s="33">
        <f t="shared" si="99"/>
        <v>0</v>
      </c>
      <c r="G350" s="33">
        <v>499639.61</v>
      </c>
      <c r="H350" s="33">
        <f t="shared" si="100"/>
        <v>14.247906756040763</v>
      </c>
      <c r="I350" s="33">
        <v>314032.85499999992</v>
      </c>
      <c r="J350" s="33">
        <f t="shared" si="101"/>
        <v>13.325771042225115</v>
      </c>
      <c r="K350" s="2">
        <v>2700</v>
      </c>
      <c r="L350" s="33">
        <f t="shared" si="102"/>
        <v>46.471600688468158</v>
      </c>
      <c r="M350" s="25">
        <v>103026</v>
      </c>
      <c r="N350" s="33">
        <f t="shared" si="103"/>
        <v>34.12180064649462</v>
      </c>
      <c r="P350" s="24"/>
      <c r="Q350" s="24"/>
      <c r="R350" s="24"/>
      <c r="S350" s="24"/>
    </row>
    <row r="351" spans="1:19" ht="15" customHeight="1" x14ac:dyDescent="0.25">
      <c r="A351" s="62"/>
      <c r="B351" s="13" t="s">
        <v>326</v>
      </c>
      <c r="C351" s="63"/>
      <c r="D351" s="2">
        <v>2</v>
      </c>
      <c r="E351" s="2">
        <v>9566</v>
      </c>
      <c r="F351" s="33">
        <f t="shared" si="99"/>
        <v>17.378192784216836</v>
      </c>
      <c r="G351" s="33">
        <v>409940</v>
      </c>
      <c r="H351" s="33">
        <f t="shared" si="100"/>
        <v>11.689999709133051</v>
      </c>
      <c r="I351" s="33">
        <v>256120</v>
      </c>
      <c r="J351" s="33">
        <f t="shared" si="101"/>
        <v>10.868278350476091</v>
      </c>
      <c r="K351" s="2">
        <v>0</v>
      </c>
      <c r="L351" s="33">
        <f t="shared" si="102"/>
        <v>0</v>
      </c>
      <c r="M351" s="25">
        <v>43053.15</v>
      </c>
      <c r="N351" s="33">
        <f t="shared" si="103"/>
        <v>14.259031715330401</v>
      </c>
      <c r="P351" s="24"/>
      <c r="Q351" s="24"/>
      <c r="R351" s="24"/>
      <c r="S351" s="24"/>
    </row>
    <row r="352" spans="1:19" ht="15" customHeight="1" x14ac:dyDescent="0.25">
      <c r="A352" s="62"/>
      <c r="B352" s="13" t="s">
        <v>335</v>
      </c>
      <c r="C352" s="63"/>
      <c r="D352" s="2">
        <v>1</v>
      </c>
      <c r="E352" s="2">
        <v>15490</v>
      </c>
      <c r="F352" s="33">
        <f t="shared" si="99"/>
        <v>28.140101006430982</v>
      </c>
      <c r="G352" s="33">
        <v>22145</v>
      </c>
      <c r="H352" s="33">
        <f t="shared" si="100"/>
        <v>0.63149495916171006</v>
      </c>
      <c r="I352" s="33">
        <v>5747.4999999999982</v>
      </c>
      <c r="J352" s="33">
        <f t="shared" si="101"/>
        <v>0.24389126120319113</v>
      </c>
      <c r="K352" s="2">
        <v>0</v>
      </c>
      <c r="L352" s="33">
        <f t="shared" si="102"/>
        <v>0</v>
      </c>
      <c r="M352" s="25">
        <v>0</v>
      </c>
      <c r="N352" s="33">
        <f t="shared" si="103"/>
        <v>0</v>
      </c>
      <c r="P352" s="24"/>
      <c r="Q352" s="24"/>
      <c r="R352" s="24"/>
      <c r="S352" s="24"/>
    </row>
    <row r="353" spans="1:19" ht="15" customHeight="1" x14ac:dyDescent="0.25">
      <c r="A353" s="62"/>
      <c r="B353" s="13" t="s">
        <v>327</v>
      </c>
      <c r="C353" s="63"/>
      <c r="D353" s="2">
        <v>1</v>
      </c>
      <c r="E353" s="2">
        <v>0</v>
      </c>
      <c r="F353" s="33">
        <f t="shared" si="99"/>
        <v>0</v>
      </c>
      <c r="G353" s="33">
        <v>361074.22500000003</v>
      </c>
      <c r="H353" s="33">
        <f t="shared" si="100"/>
        <v>10.296525309131683</v>
      </c>
      <c r="I353" s="33">
        <v>244805.73749999996</v>
      </c>
      <c r="J353" s="33">
        <f t="shared" si="101"/>
        <v>10.388165301200932</v>
      </c>
      <c r="K353" s="2">
        <v>0</v>
      </c>
      <c r="L353" s="33">
        <f t="shared" si="102"/>
        <v>0</v>
      </c>
      <c r="M353" s="25">
        <v>30093</v>
      </c>
      <c r="N353" s="33">
        <f t="shared" si="103"/>
        <v>9.9666816808860155</v>
      </c>
      <c r="P353" s="24"/>
      <c r="Q353" s="24"/>
      <c r="R353" s="24"/>
      <c r="S353" s="24"/>
    </row>
    <row r="354" spans="1:19" ht="15" customHeight="1" x14ac:dyDescent="0.25">
      <c r="A354" s="62"/>
      <c r="B354" s="13" t="s">
        <v>334</v>
      </c>
      <c r="C354" s="63"/>
      <c r="D354" s="2">
        <v>1</v>
      </c>
      <c r="E354" s="2">
        <v>0</v>
      </c>
      <c r="F354" s="33">
        <f t="shared" si="99"/>
        <v>0</v>
      </c>
      <c r="G354" s="33">
        <v>440764.81</v>
      </c>
      <c r="H354" s="33">
        <f t="shared" si="100"/>
        <v>12.569011320427585</v>
      </c>
      <c r="I354" s="33">
        <v>296256.45499999996</v>
      </c>
      <c r="J354" s="33">
        <f t="shared" si="101"/>
        <v>12.571441574516999</v>
      </c>
      <c r="K354" s="2">
        <v>0</v>
      </c>
      <c r="L354" s="33">
        <f t="shared" si="102"/>
        <v>0</v>
      </c>
      <c r="M354" s="25">
        <v>37380</v>
      </c>
      <c r="N354" s="33">
        <f t="shared" si="103"/>
        <v>12.380107042552064</v>
      </c>
      <c r="P354" s="24"/>
      <c r="Q354" s="24"/>
      <c r="R354" s="24"/>
      <c r="S354" s="24"/>
    </row>
    <row r="355" spans="1:19" ht="15" customHeight="1" x14ac:dyDescent="0.25">
      <c r="A355" s="62"/>
      <c r="B355" s="13" t="s">
        <v>245</v>
      </c>
      <c r="C355" s="63"/>
      <c r="D355" s="2">
        <v>1</v>
      </c>
      <c r="E355" s="2">
        <v>0</v>
      </c>
      <c r="F355" s="33">
        <f t="shared" si="99"/>
        <v>0</v>
      </c>
      <c r="G355" s="33">
        <v>56691.200000000004</v>
      </c>
      <c r="H355" s="33">
        <f t="shared" si="100"/>
        <v>1.6166270954539779</v>
      </c>
      <c r="I355" s="33">
        <v>48286.6</v>
      </c>
      <c r="J355" s="33">
        <f t="shared" si="101"/>
        <v>2.0490090949480666</v>
      </c>
      <c r="K355" s="2">
        <v>0</v>
      </c>
      <c r="L355" s="33">
        <f t="shared" si="102"/>
        <v>0</v>
      </c>
      <c r="M355" s="25">
        <v>0</v>
      </c>
      <c r="N355" s="33">
        <f t="shared" si="103"/>
        <v>0</v>
      </c>
      <c r="P355" s="24"/>
      <c r="Q355" s="24"/>
      <c r="R355" s="24"/>
      <c r="S355" s="24"/>
    </row>
    <row r="356" spans="1:19" ht="15" customHeight="1" x14ac:dyDescent="0.25">
      <c r="A356" s="62"/>
      <c r="B356" s="13" t="s">
        <v>329</v>
      </c>
      <c r="C356" s="63"/>
      <c r="D356" s="2">
        <v>1</v>
      </c>
      <c r="E356" s="2">
        <v>0</v>
      </c>
      <c r="F356" s="33">
        <f t="shared" si="99"/>
        <v>0</v>
      </c>
      <c r="G356" s="33">
        <v>155192.16</v>
      </c>
      <c r="H356" s="33">
        <f t="shared" si="100"/>
        <v>4.425516673805264</v>
      </c>
      <c r="I356" s="33">
        <v>111881.87999999999</v>
      </c>
      <c r="J356" s="33">
        <f t="shared" si="101"/>
        <v>4.7476316344469929</v>
      </c>
      <c r="K356" s="2">
        <v>0</v>
      </c>
      <c r="L356" s="33">
        <f t="shared" si="102"/>
        <v>0</v>
      </c>
      <c r="M356" s="25">
        <v>23251.200000000001</v>
      </c>
      <c r="N356" s="33">
        <f t="shared" si="103"/>
        <v>7.700704785120025</v>
      </c>
      <c r="P356" s="24"/>
      <c r="Q356" s="24"/>
      <c r="R356" s="24"/>
      <c r="S356" s="24"/>
    </row>
    <row r="357" spans="1:19" ht="15" customHeight="1" x14ac:dyDescent="0.25">
      <c r="A357" s="62"/>
      <c r="B357" s="13" t="s">
        <v>328</v>
      </c>
      <c r="C357" s="63"/>
      <c r="D357" s="2">
        <v>2</v>
      </c>
      <c r="E357" s="2">
        <v>8080</v>
      </c>
      <c r="F357" s="33">
        <f t="shared" si="99"/>
        <v>14.67863241652436</v>
      </c>
      <c r="G357" s="33">
        <v>272383.5</v>
      </c>
      <c r="H357" s="33">
        <f t="shared" si="100"/>
        <v>7.767387997689033</v>
      </c>
      <c r="I357" s="33">
        <v>187544.25</v>
      </c>
      <c r="J357" s="33">
        <f t="shared" si="101"/>
        <v>7.9583129471781806</v>
      </c>
      <c r="K357" s="2">
        <v>0</v>
      </c>
      <c r="L357" s="33">
        <f t="shared" si="102"/>
        <v>0</v>
      </c>
      <c r="M357" s="25">
        <v>0</v>
      </c>
      <c r="N357" s="33">
        <f t="shared" si="103"/>
        <v>0</v>
      </c>
      <c r="P357" s="24"/>
      <c r="Q357" s="24"/>
      <c r="R357" s="24"/>
      <c r="S357" s="24"/>
    </row>
    <row r="358" spans="1:19" ht="15" customHeight="1" x14ac:dyDescent="0.25">
      <c r="A358" s="62"/>
      <c r="B358" s="13" t="s">
        <v>330</v>
      </c>
      <c r="C358" s="63"/>
      <c r="D358" s="2">
        <v>1</v>
      </c>
      <c r="E358" s="2">
        <v>0</v>
      </c>
      <c r="F358" s="33">
        <f t="shared" si="99"/>
        <v>0</v>
      </c>
      <c r="G358" s="33">
        <v>81715.05</v>
      </c>
      <c r="H358" s="33">
        <f t="shared" si="100"/>
        <v>2.33021639930671</v>
      </c>
      <c r="I358" s="33">
        <v>64442.774999999994</v>
      </c>
      <c r="J358" s="33">
        <f t="shared" si="101"/>
        <v>2.7345854145599788</v>
      </c>
      <c r="K358" s="2">
        <v>0</v>
      </c>
      <c r="L358" s="33">
        <f t="shared" si="102"/>
        <v>0</v>
      </c>
      <c r="M358" s="25">
        <v>0</v>
      </c>
      <c r="N358" s="33">
        <f t="shared" si="103"/>
        <v>0</v>
      </c>
      <c r="P358" s="24"/>
      <c r="Q358" s="24"/>
      <c r="R358" s="24"/>
      <c r="S358" s="24"/>
    </row>
    <row r="359" spans="1:19" ht="15" customHeight="1" x14ac:dyDescent="0.25">
      <c r="A359" s="62"/>
      <c r="B359" s="13" t="s">
        <v>331</v>
      </c>
      <c r="C359" s="63"/>
      <c r="D359" s="2">
        <v>1</v>
      </c>
      <c r="E359" s="2">
        <v>7010</v>
      </c>
      <c r="F359" s="33">
        <f t="shared" si="99"/>
        <v>12.734803618791556</v>
      </c>
      <c r="G359" s="33">
        <v>336604</v>
      </c>
      <c r="H359" s="33">
        <f t="shared" si="100"/>
        <v>9.5987233792579918</v>
      </c>
      <c r="I359" s="33">
        <v>229007</v>
      </c>
      <c r="J359" s="33">
        <f t="shared" si="101"/>
        <v>9.71775659927955</v>
      </c>
      <c r="K359" s="2">
        <v>3110</v>
      </c>
      <c r="L359" s="33">
        <f t="shared" si="102"/>
        <v>53.528399311531842</v>
      </c>
      <c r="M359" s="25">
        <v>19950</v>
      </c>
      <c r="N359" s="33">
        <f t="shared" si="103"/>
        <v>6.6073605002384612</v>
      </c>
      <c r="P359" s="24"/>
      <c r="Q359" s="24"/>
      <c r="R359" s="24"/>
      <c r="S359" s="24"/>
    </row>
    <row r="360" spans="1:19" ht="15" customHeight="1" x14ac:dyDescent="0.25">
      <c r="A360" s="62"/>
      <c r="B360" s="13" t="s">
        <v>332</v>
      </c>
      <c r="C360" s="63"/>
      <c r="D360" s="2">
        <v>1</v>
      </c>
      <c r="E360" s="2">
        <v>0</v>
      </c>
      <c r="F360" s="33">
        <f>E360/550.46</f>
        <v>0</v>
      </c>
      <c r="G360" s="33">
        <v>15612.225</v>
      </c>
      <c r="H360" s="33">
        <f t="shared" si="100"/>
        <v>0.44520394620900555</v>
      </c>
      <c r="I360" s="33">
        <v>21764.737499999999</v>
      </c>
      <c r="J360" s="33">
        <f t="shared" si="101"/>
        <v>0.92357186231081179</v>
      </c>
      <c r="K360" s="2">
        <v>0</v>
      </c>
      <c r="L360" s="33">
        <f t="shared" si="102"/>
        <v>0</v>
      </c>
      <c r="M360" s="25">
        <v>0</v>
      </c>
      <c r="N360" s="33">
        <f t="shared" si="103"/>
        <v>0</v>
      </c>
      <c r="P360" s="24"/>
      <c r="Q360" s="24"/>
      <c r="R360" s="24"/>
      <c r="S360" s="24"/>
    </row>
    <row r="361" spans="1:19" ht="15" customHeight="1" x14ac:dyDescent="0.25">
      <c r="A361" s="8"/>
      <c r="B361" s="14"/>
      <c r="C361" s="9"/>
      <c r="D361" s="3">
        <f>SUM(D346:D360)</f>
        <v>18</v>
      </c>
      <c r="E361" s="21">
        <f>SUM(E342:E360)</f>
        <v>55046</v>
      </c>
      <c r="F361" s="17">
        <v>1</v>
      </c>
      <c r="G361" s="21">
        <f>SUM(G346:G360)</f>
        <v>3556757.89</v>
      </c>
      <c r="H361" s="17">
        <v>1</v>
      </c>
      <c r="I361" s="21">
        <f>SUM(I346:I360)</f>
        <v>2356583.3949999996</v>
      </c>
      <c r="J361" s="17">
        <v>1</v>
      </c>
      <c r="K361" s="21">
        <f>SUM(K346:K360)</f>
        <v>5810</v>
      </c>
      <c r="L361" s="17">
        <v>1</v>
      </c>
      <c r="M361" s="46">
        <f>SUM(M346:M360)</f>
        <v>301935.89999999997</v>
      </c>
      <c r="N361" s="17">
        <v>1</v>
      </c>
      <c r="P361" s="28"/>
      <c r="Q361" s="24"/>
      <c r="R361" s="24"/>
      <c r="S361" s="24"/>
    </row>
    <row r="362" spans="1:19" ht="19.5" customHeight="1" x14ac:dyDescent="0.25">
      <c r="A362" s="62" t="s">
        <v>522</v>
      </c>
      <c r="B362" s="13" t="s">
        <v>521</v>
      </c>
      <c r="C362" s="63" t="s">
        <v>88</v>
      </c>
      <c r="D362" s="2">
        <v>4</v>
      </c>
      <c r="E362" s="33">
        <v>70000</v>
      </c>
      <c r="F362" s="33">
        <f>E362/719</f>
        <v>97.357440890125176</v>
      </c>
      <c r="G362" s="2">
        <v>477200</v>
      </c>
      <c r="H362" s="33">
        <f>G362/7252.5</f>
        <v>65.798000689417435</v>
      </c>
      <c r="I362" s="2">
        <v>53500</v>
      </c>
      <c r="J362" s="33">
        <f>I362/876.6</f>
        <v>61.031257129819757</v>
      </c>
      <c r="K362" s="2">
        <v>0</v>
      </c>
      <c r="L362" s="2">
        <v>0</v>
      </c>
      <c r="M362" s="25">
        <v>15033</v>
      </c>
      <c r="N362" s="33">
        <f>M362/262.88</f>
        <v>57.185788192331103</v>
      </c>
      <c r="P362" s="24"/>
      <c r="Q362" s="24"/>
      <c r="R362" s="24"/>
      <c r="S362" s="24"/>
    </row>
    <row r="363" spans="1:19" ht="19.5" customHeight="1" x14ac:dyDescent="0.25">
      <c r="A363" s="62"/>
      <c r="B363" s="13" t="s">
        <v>336</v>
      </c>
      <c r="C363" s="63"/>
      <c r="D363" s="2">
        <v>1</v>
      </c>
      <c r="E363" s="33">
        <v>700</v>
      </c>
      <c r="F363" s="33">
        <f>E363/719</f>
        <v>0.97357440890125169</v>
      </c>
      <c r="G363" s="2">
        <v>126300</v>
      </c>
      <c r="H363" s="33">
        <f>G363/7252.5</f>
        <v>17.414684591520164</v>
      </c>
      <c r="I363" s="2">
        <v>14500</v>
      </c>
      <c r="J363" s="33">
        <f>I363/876.6</f>
        <v>16.541181838923112</v>
      </c>
      <c r="K363" s="2">
        <v>0</v>
      </c>
      <c r="L363" s="2">
        <v>0</v>
      </c>
      <c r="M363" s="25">
        <v>0</v>
      </c>
      <c r="N363" s="33">
        <v>0</v>
      </c>
      <c r="P363" s="24"/>
      <c r="Q363" s="24"/>
      <c r="R363" s="24"/>
      <c r="S363" s="24"/>
    </row>
    <row r="364" spans="1:19" ht="11.25" customHeight="1" x14ac:dyDescent="0.25">
      <c r="A364" s="62"/>
      <c r="B364" s="70" t="s">
        <v>337</v>
      </c>
      <c r="C364" s="63"/>
      <c r="D364" s="65">
        <v>1</v>
      </c>
      <c r="E364" s="66">
        <v>1200</v>
      </c>
      <c r="F364" s="66">
        <f>E364/719</f>
        <v>1.6689847009735743</v>
      </c>
      <c r="G364" s="65">
        <v>121750</v>
      </c>
      <c r="H364" s="66">
        <f>G364/7252.5</f>
        <v>16.787314719062394</v>
      </c>
      <c r="I364" s="65">
        <v>19660</v>
      </c>
      <c r="J364" s="66">
        <f>I364/876.6</f>
        <v>22.427561031257131</v>
      </c>
      <c r="K364" s="65">
        <v>0</v>
      </c>
      <c r="L364" s="65">
        <v>0</v>
      </c>
      <c r="M364" s="58">
        <v>11255</v>
      </c>
      <c r="N364" s="60">
        <f>M364/262.88</f>
        <v>42.814211807668897</v>
      </c>
      <c r="P364" s="24"/>
      <c r="Q364" s="24"/>
      <c r="R364" s="24"/>
      <c r="S364" s="24"/>
    </row>
    <row r="365" spans="1:19" ht="9.75" customHeight="1" x14ac:dyDescent="0.25">
      <c r="A365" s="62"/>
      <c r="B365" s="70"/>
      <c r="C365" s="63"/>
      <c r="D365" s="65"/>
      <c r="E365" s="66"/>
      <c r="F365" s="66"/>
      <c r="G365" s="65"/>
      <c r="H365" s="66"/>
      <c r="I365" s="65"/>
      <c r="J365" s="66"/>
      <c r="K365" s="65"/>
      <c r="L365" s="65"/>
      <c r="M365" s="59"/>
      <c r="N365" s="61"/>
      <c r="P365" s="24"/>
      <c r="Q365" s="24"/>
      <c r="R365" s="24"/>
      <c r="S365" s="24"/>
    </row>
    <row r="366" spans="1:19" ht="15.75" x14ac:dyDescent="0.25">
      <c r="A366" s="3"/>
      <c r="B366" s="14"/>
      <c r="C366" s="3"/>
      <c r="D366" s="3">
        <v>5</v>
      </c>
      <c r="E366" s="21">
        <f>SUM(E362:E365)</f>
        <v>71900</v>
      </c>
      <c r="F366" s="17">
        <v>1</v>
      </c>
      <c r="G366" s="21">
        <f>SUM(G362:G365)</f>
        <v>725250</v>
      </c>
      <c r="H366" s="17">
        <v>1</v>
      </c>
      <c r="I366" s="21">
        <f>SUM(I362:I365)</f>
        <v>87660</v>
      </c>
      <c r="J366" s="17">
        <v>1</v>
      </c>
      <c r="K366" s="21">
        <v>0</v>
      </c>
      <c r="L366" s="17">
        <v>1</v>
      </c>
      <c r="M366" s="16">
        <f>SUM(M362:M365)</f>
        <v>26288</v>
      </c>
      <c r="N366" s="17">
        <v>1</v>
      </c>
      <c r="P366" s="28"/>
      <c r="Q366" s="24"/>
      <c r="R366" s="24"/>
      <c r="S366" s="24"/>
    </row>
    <row r="367" spans="1:19" ht="15" customHeight="1" x14ac:dyDescent="0.25">
      <c r="A367" s="62" t="s">
        <v>338</v>
      </c>
      <c r="B367" s="13" t="s">
        <v>344</v>
      </c>
      <c r="C367" s="63" t="s">
        <v>88</v>
      </c>
      <c r="D367" s="2">
        <v>2</v>
      </c>
      <c r="E367" s="2">
        <v>7300</v>
      </c>
      <c r="F367" s="33">
        <f>E367/436</f>
        <v>16.743119266055047</v>
      </c>
      <c r="G367" s="33">
        <v>422761.33700000006</v>
      </c>
      <c r="H367" s="33">
        <f>G367/24602.2</f>
        <v>17.183883433188903</v>
      </c>
      <c r="I367" s="33">
        <v>261770.57624999995</v>
      </c>
      <c r="J367" s="33">
        <f>I367/14959.5</f>
        <v>17.498618018650355</v>
      </c>
      <c r="K367" s="2">
        <v>1800</v>
      </c>
      <c r="L367" s="33">
        <f>K367/59</f>
        <v>30.508474576271187</v>
      </c>
      <c r="M367" s="25">
        <v>109775</v>
      </c>
      <c r="N367" s="33">
        <f>M367/4584.58</f>
        <v>23.944396215138575</v>
      </c>
      <c r="P367" s="24"/>
      <c r="Q367" s="24"/>
      <c r="R367" s="24"/>
      <c r="S367" s="24"/>
    </row>
    <row r="368" spans="1:19" ht="15" customHeight="1" x14ac:dyDescent="0.25">
      <c r="A368" s="62"/>
      <c r="B368" s="13" t="s">
        <v>339</v>
      </c>
      <c r="C368" s="63"/>
      <c r="D368" s="2">
        <v>1</v>
      </c>
      <c r="E368" s="2">
        <v>0</v>
      </c>
      <c r="F368" s="33">
        <f t="shared" ref="F368:F375" si="104">E368/436</f>
        <v>0</v>
      </c>
      <c r="G368" s="33">
        <v>27827.794600000001</v>
      </c>
      <c r="H368" s="33">
        <f t="shared" ref="H368:H375" si="105">G368/24602.2</f>
        <v>1.13111000642219</v>
      </c>
      <c r="I368" s="33">
        <v>9817.4922499999993</v>
      </c>
      <c r="J368" s="33">
        <f t="shared" ref="J368:J375" si="106">I368/14959.5</f>
        <v>0.65627141615695705</v>
      </c>
      <c r="K368" s="2">
        <v>0</v>
      </c>
      <c r="L368" s="33">
        <f t="shared" ref="L368:L375" si="107">K368/59</f>
        <v>0</v>
      </c>
      <c r="M368" s="25">
        <v>0</v>
      </c>
      <c r="N368" s="33">
        <f t="shared" ref="N368:N375" si="108">M368/4584.58</f>
        <v>0</v>
      </c>
      <c r="P368" s="24"/>
      <c r="Q368" s="24"/>
      <c r="R368" s="24"/>
      <c r="S368" s="24"/>
    </row>
    <row r="369" spans="1:19" ht="15" customHeight="1" x14ac:dyDescent="0.25">
      <c r="A369" s="62"/>
      <c r="B369" s="13" t="s">
        <v>340</v>
      </c>
      <c r="C369" s="63"/>
      <c r="D369" s="2">
        <v>1</v>
      </c>
      <c r="E369" s="2">
        <v>0</v>
      </c>
      <c r="F369" s="33">
        <f t="shared" si="104"/>
        <v>0</v>
      </c>
      <c r="G369" s="33">
        <v>175489.58499999999</v>
      </c>
      <c r="H369" s="33">
        <f t="shared" si="105"/>
        <v>7.1330850493045332</v>
      </c>
      <c r="I369" s="33">
        <v>86535.006250000006</v>
      </c>
      <c r="J369" s="33">
        <f t="shared" si="106"/>
        <v>5.784618887663358</v>
      </c>
      <c r="K369" s="2">
        <v>0</v>
      </c>
      <c r="L369" s="33">
        <f t="shared" si="107"/>
        <v>0</v>
      </c>
      <c r="M369" s="25">
        <v>120484</v>
      </c>
      <c r="N369" s="33">
        <f t="shared" si="108"/>
        <v>26.28026994839222</v>
      </c>
      <c r="P369" s="24"/>
      <c r="Q369" s="24"/>
      <c r="R369" s="24"/>
      <c r="S369" s="24"/>
    </row>
    <row r="370" spans="1:19" ht="15" customHeight="1" x14ac:dyDescent="0.25">
      <c r="A370" s="62"/>
      <c r="B370" s="13" t="s">
        <v>341</v>
      </c>
      <c r="C370" s="63"/>
      <c r="D370" s="2">
        <v>1</v>
      </c>
      <c r="E370" s="2">
        <v>3600</v>
      </c>
      <c r="F370" s="33">
        <f t="shared" si="104"/>
        <v>8.2568807339449535</v>
      </c>
      <c r="G370" s="33">
        <v>345227.16000000003</v>
      </c>
      <c r="H370" s="33">
        <f t="shared" si="105"/>
        <v>14.032369462893563</v>
      </c>
      <c r="I370" s="33">
        <v>191636.84999999998</v>
      </c>
      <c r="J370" s="33">
        <f t="shared" si="106"/>
        <v>12.810378020655769</v>
      </c>
      <c r="K370" s="2">
        <v>0</v>
      </c>
      <c r="L370" s="33">
        <f t="shared" si="107"/>
        <v>0</v>
      </c>
      <c r="M370" s="25">
        <v>0</v>
      </c>
      <c r="N370" s="33">
        <f t="shared" si="108"/>
        <v>0</v>
      </c>
      <c r="P370" s="24"/>
      <c r="Q370" s="24"/>
      <c r="R370" s="24"/>
      <c r="S370" s="24"/>
    </row>
    <row r="371" spans="1:19" ht="15" customHeight="1" x14ac:dyDescent="0.25">
      <c r="A371" s="62"/>
      <c r="B371" s="13" t="s">
        <v>342</v>
      </c>
      <c r="C371" s="63"/>
      <c r="D371" s="2">
        <v>1</v>
      </c>
      <c r="E371" s="2">
        <v>0</v>
      </c>
      <c r="F371" s="33">
        <f t="shared" si="104"/>
        <v>0</v>
      </c>
      <c r="G371" s="33">
        <v>529617.98660000006</v>
      </c>
      <c r="H371" s="33">
        <f t="shared" si="105"/>
        <v>21.527261244929317</v>
      </c>
      <c r="I371" s="33">
        <v>298331.21224999992</v>
      </c>
      <c r="J371" s="33">
        <f t="shared" si="106"/>
        <v>19.942592483037529</v>
      </c>
      <c r="K371" s="2">
        <v>3200</v>
      </c>
      <c r="L371" s="33">
        <f t="shared" si="107"/>
        <v>54.237288135593218</v>
      </c>
      <c r="M371" s="25">
        <v>183026</v>
      </c>
      <c r="N371" s="33">
        <f t="shared" si="108"/>
        <v>39.922086646977476</v>
      </c>
      <c r="P371" s="24"/>
      <c r="Q371" s="24"/>
      <c r="R371" s="24"/>
      <c r="S371" s="24"/>
    </row>
    <row r="372" spans="1:19" ht="15" customHeight="1" x14ac:dyDescent="0.25">
      <c r="A372" s="62"/>
      <c r="B372" s="13" t="s">
        <v>345</v>
      </c>
      <c r="C372" s="63"/>
      <c r="D372" s="2">
        <v>2</v>
      </c>
      <c r="E372" s="2">
        <v>20100</v>
      </c>
      <c r="F372" s="33">
        <f t="shared" si="104"/>
        <v>46.100917431192663</v>
      </c>
      <c r="G372" s="33">
        <v>422761.33700000006</v>
      </c>
      <c r="H372" s="33">
        <f t="shared" si="105"/>
        <v>17.183883433188903</v>
      </c>
      <c r="I372" s="33">
        <v>261770.57624999995</v>
      </c>
      <c r="J372" s="33">
        <f t="shared" si="106"/>
        <v>17.498618018650355</v>
      </c>
      <c r="K372" s="2">
        <v>0</v>
      </c>
      <c r="L372" s="33">
        <f t="shared" si="107"/>
        <v>0</v>
      </c>
      <c r="M372" s="25">
        <v>40966</v>
      </c>
      <c r="N372" s="33">
        <f t="shared" si="108"/>
        <v>8.93560587883732</v>
      </c>
      <c r="P372" s="24"/>
      <c r="Q372" s="24"/>
      <c r="R372" s="24"/>
      <c r="S372" s="24"/>
    </row>
    <row r="373" spans="1:19" ht="15" customHeight="1" x14ac:dyDescent="0.25">
      <c r="A373" s="62"/>
      <c r="B373" s="13" t="s">
        <v>343</v>
      </c>
      <c r="C373" s="63"/>
      <c r="D373" s="2">
        <v>1</v>
      </c>
      <c r="E373" s="2">
        <v>0</v>
      </c>
      <c r="F373" s="33">
        <f t="shared" si="104"/>
        <v>0</v>
      </c>
      <c r="G373" s="33">
        <v>25817.794600000001</v>
      </c>
      <c r="H373" s="33">
        <f t="shared" si="105"/>
        <v>1.0494099958540293</v>
      </c>
      <c r="I373" s="33">
        <v>6816.4922499999975</v>
      </c>
      <c r="J373" s="33">
        <f t="shared" si="106"/>
        <v>0.45566310705571694</v>
      </c>
      <c r="K373" s="2">
        <v>0</v>
      </c>
      <c r="L373" s="33">
        <f t="shared" si="107"/>
        <v>0</v>
      </c>
      <c r="M373" s="25">
        <v>0</v>
      </c>
      <c r="N373" s="33">
        <f t="shared" si="108"/>
        <v>0</v>
      </c>
      <c r="P373" s="24"/>
      <c r="Q373" s="24"/>
      <c r="R373" s="24"/>
      <c r="S373" s="24"/>
    </row>
    <row r="374" spans="1:19" ht="15" customHeight="1" x14ac:dyDescent="0.25">
      <c r="A374" s="62"/>
      <c r="B374" s="13" t="s">
        <v>274</v>
      </c>
      <c r="C374" s="63"/>
      <c r="D374" s="2">
        <v>1</v>
      </c>
      <c r="E374" s="2">
        <v>0</v>
      </c>
      <c r="F374" s="33">
        <f t="shared" si="104"/>
        <v>0</v>
      </c>
      <c r="G374" s="33">
        <v>165489.58500000002</v>
      </c>
      <c r="H374" s="33">
        <f t="shared" si="105"/>
        <v>6.7266173350350789</v>
      </c>
      <c r="I374" s="33">
        <v>87635.006250000006</v>
      </c>
      <c r="J374" s="33">
        <f t="shared" si="106"/>
        <v>5.8581507570440197</v>
      </c>
      <c r="K374" s="2">
        <v>0</v>
      </c>
      <c r="L374" s="33">
        <f t="shared" si="107"/>
        <v>0</v>
      </c>
      <c r="M374" s="25">
        <v>4207</v>
      </c>
      <c r="N374" s="33">
        <f t="shared" si="108"/>
        <v>0.91764131065441112</v>
      </c>
      <c r="P374" s="24"/>
      <c r="Q374" s="24"/>
      <c r="R374" s="24"/>
      <c r="S374" s="24"/>
    </row>
    <row r="375" spans="1:19" ht="15" customHeight="1" x14ac:dyDescent="0.25">
      <c r="A375" s="62"/>
      <c r="B375" s="13" t="s">
        <v>346</v>
      </c>
      <c r="C375" s="63"/>
      <c r="D375" s="2">
        <v>1</v>
      </c>
      <c r="E375" s="2">
        <v>12600</v>
      </c>
      <c r="F375" s="33">
        <f t="shared" si="104"/>
        <v>28.899082568807341</v>
      </c>
      <c r="G375" s="33">
        <v>345227.16000000003</v>
      </c>
      <c r="H375" s="33">
        <f t="shared" si="105"/>
        <v>14.032369462893563</v>
      </c>
      <c r="I375" s="33">
        <v>291636.84999999998</v>
      </c>
      <c r="J375" s="33">
        <f t="shared" si="106"/>
        <v>19.495093418897689</v>
      </c>
      <c r="K375" s="2">
        <v>900</v>
      </c>
      <c r="L375" s="33">
        <f t="shared" si="107"/>
        <v>15.254237288135593</v>
      </c>
      <c r="M375" s="25">
        <v>0</v>
      </c>
      <c r="N375" s="33">
        <f t="shared" si="108"/>
        <v>0</v>
      </c>
      <c r="P375" s="24"/>
      <c r="Q375" s="24"/>
      <c r="R375" s="24"/>
      <c r="S375" s="24"/>
    </row>
    <row r="376" spans="1:19" ht="15" customHeight="1" x14ac:dyDescent="0.25">
      <c r="A376" s="8"/>
      <c r="B376" s="14"/>
      <c r="C376" s="9"/>
      <c r="D376" s="3">
        <f>SUM(D367:D375)</f>
        <v>11</v>
      </c>
      <c r="E376" s="21">
        <f>SUM(E367:E375)</f>
        <v>43600</v>
      </c>
      <c r="F376" s="17">
        <v>1</v>
      </c>
      <c r="G376" s="21">
        <f>SUM(G367:G375)</f>
        <v>2460219.7398000001</v>
      </c>
      <c r="H376" s="17">
        <v>1</v>
      </c>
      <c r="I376" s="21">
        <f>SUM(I367:I375)</f>
        <v>1495950.0617499999</v>
      </c>
      <c r="J376" s="17">
        <v>1</v>
      </c>
      <c r="K376" s="21">
        <f>SUM(K366:K375)</f>
        <v>5900</v>
      </c>
      <c r="L376" s="17">
        <v>1</v>
      </c>
      <c r="M376" s="21">
        <f>SUM(M367:M375)</f>
        <v>458458</v>
      </c>
      <c r="N376" s="17">
        <v>1</v>
      </c>
      <c r="P376" s="28"/>
      <c r="Q376" s="24"/>
      <c r="R376" s="24"/>
      <c r="S376" s="24"/>
    </row>
    <row r="377" spans="1:19" ht="23.25" customHeight="1" x14ac:dyDescent="0.25">
      <c r="A377" s="62" t="s">
        <v>347</v>
      </c>
      <c r="B377" s="13" t="s">
        <v>348</v>
      </c>
      <c r="C377" s="63" t="s">
        <v>88</v>
      </c>
      <c r="D377" s="2">
        <v>2</v>
      </c>
      <c r="E377" s="2">
        <v>2600</v>
      </c>
      <c r="F377" s="33">
        <f>E377/197.42</f>
        <v>13.169891601661433</v>
      </c>
      <c r="G377" s="25">
        <v>477200</v>
      </c>
      <c r="H377" s="34">
        <f>G377/10255</f>
        <v>46.533398342272065</v>
      </c>
      <c r="I377" s="2">
        <v>99000</v>
      </c>
      <c r="J377" s="33">
        <f>I377/3291.3</f>
        <v>30.079299972655178</v>
      </c>
      <c r="K377" s="2">
        <v>0</v>
      </c>
      <c r="L377" s="2">
        <v>0</v>
      </c>
      <c r="M377" s="25">
        <v>56322</v>
      </c>
      <c r="N377" s="33">
        <f>M377/1225.61</f>
        <v>45.954259511590152</v>
      </c>
      <c r="P377" s="24"/>
      <c r="Q377" s="24"/>
      <c r="R377" s="24"/>
      <c r="S377" s="24"/>
    </row>
    <row r="378" spans="1:19" ht="17.25" customHeight="1" x14ac:dyDescent="0.25">
      <c r="A378" s="62"/>
      <c r="B378" s="13" t="s">
        <v>349</v>
      </c>
      <c r="C378" s="63"/>
      <c r="D378" s="2">
        <v>1</v>
      </c>
      <c r="E378" s="2">
        <v>7022</v>
      </c>
      <c r="F378" s="33">
        <f t="shared" ref="F378:F379" si="109">E378/197.42</f>
        <v>35.568838010333302</v>
      </c>
      <c r="G378" s="25">
        <v>326300</v>
      </c>
      <c r="H378" s="34">
        <f t="shared" ref="H378:H379" si="110">G378/10255</f>
        <v>31.81862506094588</v>
      </c>
      <c r="I378" s="2">
        <v>133600</v>
      </c>
      <c r="J378" s="33">
        <f t="shared" ref="J378:J379" si="111">I378/3291.3</f>
        <v>40.591863397441735</v>
      </c>
      <c r="K378" s="2">
        <v>0</v>
      </c>
      <c r="L378" s="2">
        <v>0</v>
      </c>
      <c r="M378" s="25">
        <v>41239</v>
      </c>
      <c r="N378" s="33">
        <f t="shared" ref="N378:N379" si="112">M378/1225.61</f>
        <v>33.647734597465757</v>
      </c>
      <c r="P378" s="24"/>
      <c r="Q378" s="24"/>
      <c r="R378" s="24"/>
      <c r="S378" s="24"/>
    </row>
    <row r="379" spans="1:19" ht="16.5" customHeight="1" x14ac:dyDescent="0.25">
      <c r="A379" s="62"/>
      <c r="B379" s="13" t="s">
        <v>350</v>
      </c>
      <c r="C379" s="63"/>
      <c r="D379" s="2">
        <v>1</v>
      </c>
      <c r="E379" s="2">
        <v>10120</v>
      </c>
      <c r="F379" s="33">
        <f t="shared" si="109"/>
        <v>51.261270388005272</v>
      </c>
      <c r="G379" s="2">
        <v>222000</v>
      </c>
      <c r="H379" s="34">
        <f t="shared" si="110"/>
        <v>21.647976596782058</v>
      </c>
      <c r="I379" s="2">
        <v>96530</v>
      </c>
      <c r="J379" s="33">
        <f t="shared" si="111"/>
        <v>29.328836629903076</v>
      </c>
      <c r="K379" s="2">
        <v>0</v>
      </c>
      <c r="L379" s="2">
        <v>0</v>
      </c>
      <c r="M379" s="25">
        <v>25000</v>
      </c>
      <c r="N379" s="33">
        <f t="shared" si="112"/>
        <v>20.398005890944102</v>
      </c>
      <c r="P379" s="24"/>
      <c r="Q379" s="24"/>
      <c r="R379" s="24"/>
      <c r="S379" s="24"/>
    </row>
    <row r="380" spans="1:19" ht="15" customHeight="1" x14ac:dyDescent="0.25">
      <c r="A380" s="8"/>
      <c r="B380" s="14"/>
      <c r="C380" s="9"/>
      <c r="D380" s="3">
        <v>4</v>
      </c>
      <c r="E380" s="21">
        <f>SUM(E377:E379)</f>
        <v>19742</v>
      </c>
      <c r="F380" s="17">
        <v>1</v>
      </c>
      <c r="G380" s="21">
        <f>SUM(G377:G379)</f>
        <v>1025500</v>
      </c>
      <c r="H380" s="17">
        <v>1</v>
      </c>
      <c r="I380" s="21">
        <f>SUM(I377:I379)</f>
        <v>329130</v>
      </c>
      <c r="J380" s="17">
        <v>1</v>
      </c>
      <c r="K380" s="21">
        <v>0</v>
      </c>
      <c r="L380" s="17">
        <v>1</v>
      </c>
      <c r="M380" s="21">
        <f>SUM(M377:M379)</f>
        <v>122561</v>
      </c>
      <c r="N380" s="17">
        <v>1</v>
      </c>
      <c r="P380" s="28"/>
      <c r="Q380" s="24"/>
      <c r="R380" s="24"/>
      <c r="S380" s="24"/>
    </row>
    <row r="381" spans="1:19" ht="15" customHeight="1" x14ac:dyDescent="0.25">
      <c r="A381" s="62" t="s">
        <v>351</v>
      </c>
      <c r="B381" s="13" t="s">
        <v>352</v>
      </c>
      <c r="C381" s="63" t="s">
        <v>88</v>
      </c>
      <c r="D381" s="2">
        <v>1</v>
      </c>
      <c r="E381" s="2">
        <v>16020</v>
      </c>
      <c r="F381" s="2"/>
      <c r="G381" s="2">
        <v>1727416</v>
      </c>
      <c r="H381" s="33">
        <f>G381/190518.34</f>
        <v>9.0669276249205204</v>
      </c>
      <c r="I381" s="25">
        <v>875150</v>
      </c>
      <c r="J381" s="33">
        <f>I381/80441.48</f>
        <v>10.879337376686754</v>
      </c>
      <c r="K381" s="2">
        <v>31600</v>
      </c>
      <c r="L381" s="33">
        <f>K381/1144.15</f>
        <v>27.618756281956035</v>
      </c>
      <c r="M381" s="25">
        <v>626437</v>
      </c>
      <c r="N381" s="33">
        <f>M381/35645.09</f>
        <v>17.574285827304688</v>
      </c>
      <c r="P381" s="24"/>
      <c r="Q381" s="24"/>
      <c r="R381" s="24"/>
      <c r="S381" s="24"/>
    </row>
    <row r="382" spans="1:19" x14ac:dyDescent="0.25">
      <c r="A382" s="62"/>
      <c r="B382" s="13" t="s">
        <v>353</v>
      </c>
      <c r="C382" s="63"/>
      <c r="D382" s="2">
        <v>2</v>
      </c>
      <c r="E382" s="2">
        <v>8000</v>
      </c>
      <c r="F382" s="2"/>
      <c r="G382" s="25">
        <v>1494261</v>
      </c>
      <c r="H382" s="33">
        <f t="shared" ref="H382:H400" si="113">G382/190518.34</f>
        <v>7.8431346819419065</v>
      </c>
      <c r="I382" s="2">
        <v>165126</v>
      </c>
      <c r="J382" s="33">
        <f t="shared" ref="J382:J400" si="114">I382/80441.48</f>
        <v>2.0527469161432634</v>
      </c>
      <c r="K382" s="2">
        <v>0</v>
      </c>
      <c r="L382" s="33">
        <f t="shared" ref="L382:L400" si="115">K382/1144.15</f>
        <v>0</v>
      </c>
      <c r="M382" s="25">
        <v>107325</v>
      </c>
      <c r="N382" s="33">
        <f t="shared" ref="N382:N400" si="116">M382/35645.09</f>
        <v>3.0109336236772024</v>
      </c>
      <c r="P382" s="24"/>
      <c r="Q382" s="24"/>
      <c r="R382" s="24"/>
      <c r="S382" s="24"/>
    </row>
    <row r="383" spans="1:19" x14ac:dyDescent="0.25">
      <c r="A383" s="62"/>
      <c r="B383" s="13" t="s">
        <v>354</v>
      </c>
      <c r="C383" s="63"/>
      <c r="D383" s="2">
        <v>1</v>
      </c>
      <c r="E383" s="2">
        <v>0</v>
      </c>
      <c r="F383" s="2"/>
      <c r="G383" s="2">
        <v>484707</v>
      </c>
      <c r="H383" s="33">
        <f t="shared" si="113"/>
        <v>2.5441487680398644</v>
      </c>
      <c r="I383" s="2">
        <v>15740</v>
      </c>
      <c r="J383" s="33">
        <f t="shared" si="114"/>
        <v>0.19567019403422214</v>
      </c>
      <c r="K383" s="2">
        <v>29500</v>
      </c>
      <c r="L383" s="33">
        <f t="shared" si="115"/>
        <v>25.783332604990601</v>
      </c>
      <c r="M383" s="25">
        <v>82589</v>
      </c>
      <c r="N383" s="33">
        <f t="shared" si="116"/>
        <v>2.3169811045504445</v>
      </c>
      <c r="P383" s="24"/>
      <c r="Q383" s="24"/>
      <c r="R383" s="24"/>
      <c r="S383" s="24"/>
    </row>
    <row r="384" spans="1:19" x14ac:dyDescent="0.25">
      <c r="A384" s="62"/>
      <c r="B384" s="13" t="s">
        <v>355</v>
      </c>
      <c r="C384" s="63"/>
      <c r="D384" s="2">
        <v>1</v>
      </c>
      <c r="E384" s="2">
        <v>0</v>
      </c>
      <c r="F384" s="2">
        <v>0</v>
      </c>
      <c r="G384" s="2">
        <v>0</v>
      </c>
      <c r="H384" s="33">
        <f t="shared" si="113"/>
        <v>0</v>
      </c>
      <c r="I384" s="2">
        <v>0</v>
      </c>
      <c r="J384" s="33">
        <f t="shared" si="114"/>
        <v>0</v>
      </c>
      <c r="K384" s="2">
        <v>0</v>
      </c>
      <c r="L384" s="33">
        <f t="shared" si="115"/>
        <v>0</v>
      </c>
      <c r="M384" s="25">
        <v>0</v>
      </c>
      <c r="N384" s="33">
        <f t="shared" si="116"/>
        <v>0</v>
      </c>
      <c r="P384" s="24"/>
      <c r="Q384" s="24"/>
      <c r="R384" s="24"/>
      <c r="S384" s="24"/>
    </row>
    <row r="385" spans="1:19" x14ac:dyDescent="0.25">
      <c r="A385" s="62"/>
      <c r="B385" s="13" t="s">
        <v>356</v>
      </c>
      <c r="C385" s="63"/>
      <c r="D385" s="2">
        <v>1</v>
      </c>
      <c r="E385" s="2">
        <v>0</v>
      </c>
      <c r="F385" s="2"/>
      <c r="G385" s="2">
        <v>195000</v>
      </c>
      <c r="H385" s="33">
        <f t="shared" si="113"/>
        <v>1.0235235096001782</v>
      </c>
      <c r="I385" s="2">
        <v>0</v>
      </c>
      <c r="J385" s="33">
        <f t="shared" si="114"/>
        <v>0</v>
      </c>
      <c r="K385" s="2">
        <v>0</v>
      </c>
      <c r="L385" s="33">
        <f t="shared" si="115"/>
        <v>0</v>
      </c>
      <c r="M385" s="25">
        <v>91532</v>
      </c>
      <c r="N385" s="33">
        <f t="shared" si="116"/>
        <v>2.5678711990908147</v>
      </c>
      <c r="P385" s="24"/>
      <c r="Q385" s="24"/>
      <c r="R385" s="24"/>
      <c r="S385" s="24"/>
    </row>
    <row r="386" spans="1:19" x14ac:dyDescent="0.25">
      <c r="A386" s="62"/>
      <c r="B386" s="13" t="s">
        <v>490</v>
      </c>
      <c r="C386" s="63"/>
      <c r="D386" s="2">
        <v>2</v>
      </c>
      <c r="E386" s="2">
        <v>0</v>
      </c>
      <c r="F386" s="2"/>
      <c r="G386" s="2">
        <v>1688981</v>
      </c>
      <c r="H386" s="33">
        <f t="shared" si="113"/>
        <v>8.8651885167590692</v>
      </c>
      <c r="I386" s="2">
        <v>1382724</v>
      </c>
      <c r="J386" s="33">
        <f t="shared" si="114"/>
        <v>17.189191446999732</v>
      </c>
      <c r="K386" s="25">
        <v>11815</v>
      </c>
      <c r="L386" s="33">
        <f t="shared" si="115"/>
        <v>10.326443211117423</v>
      </c>
      <c r="M386" s="25">
        <v>728300</v>
      </c>
      <c r="N386" s="33">
        <f t="shared" si="116"/>
        <v>20.4319865653306</v>
      </c>
      <c r="P386" s="24"/>
      <c r="Q386" s="24"/>
      <c r="R386" s="24"/>
      <c r="S386" s="24"/>
    </row>
    <row r="387" spans="1:19" x14ac:dyDescent="0.25">
      <c r="A387" s="62"/>
      <c r="B387" s="13" t="s">
        <v>357</v>
      </c>
      <c r="C387" s="63"/>
      <c r="D387" s="2">
        <v>2</v>
      </c>
      <c r="E387" s="25">
        <v>19020</v>
      </c>
      <c r="F387" s="25"/>
      <c r="G387" s="25">
        <v>1458416</v>
      </c>
      <c r="H387" s="33">
        <f t="shared" si="113"/>
        <v>7.6549900655233509</v>
      </c>
      <c r="I387" s="25">
        <v>15150</v>
      </c>
      <c r="J387" s="33">
        <f t="shared" si="114"/>
        <v>0.18833566960727227</v>
      </c>
      <c r="K387" s="25">
        <v>0</v>
      </c>
      <c r="L387" s="33">
        <f t="shared" si="115"/>
        <v>0</v>
      </c>
      <c r="M387" s="25">
        <v>82643</v>
      </c>
      <c r="N387" s="33">
        <f t="shared" si="116"/>
        <v>2.3184960397070116</v>
      </c>
      <c r="P387" s="24"/>
      <c r="Q387" s="24"/>
      <c r="R387" s="24"/>
      <c r="S387" s="24"/>
    </row>
    <row r="388" spans="1:19" x14ac:dyDescent="0.25">
      <c r="A388" s="62"/>
      <c r="B388" s="13" t="s">
        <v>358</v>
      </c>
      <c r="C388" s="63"/>
      <c r="D388" s="2">
        <v>1</v>
      </c>
      <c r="E388" s="2">
        <v>3550</v>
      </c>
      <c r="F388" s="2"/>
      <c r="G388" s="2">
        <v>1039733</v>
      </c>
      <c r="H388" s="33">
        <f t="shared" si="113"/>
        <v>5.4573906113185746</v>
      </c>
      <c r="I388" s="2">
        <v>457078</v>
      </c>
      <c r="J388" s="33">
        <f t="shared" si="114"/>
        <v>5.6821182305447389</v>
      </c>
      <c r="K388" s="2">
        <v>3500</v>
      </c>
      <c r="L388" s="33">
        <f t="shared" si="115"/>
        <v>3.0590394616090544</v>
      </c>
      <c r="M388" s="25">
        <v>216086</v>
      </c>
      <c r="N388" s="33">
        <f t="shared" si="116"/>
        <v>6.0621533007771902</v>
      </c>
      <c r="P388" s="24"/>
      <c r="Q388" s="24"/>
      <c r="R388" s="24"/>
      <c r="S388" s="24"/>
    </row>
    <row r="389" spans="1:19" x14ac:dyDescent="0.25">
      <c r="A389" s="62"/>
      <c r="B389" s="13" t="s">
        <v>359</v>
      </c>
      <c r="C389" s="63"/>
      <c r="D389" s="2">
        <v>1</v>
      </c>
      <c r="E389" s="2">
        <v>0</v>
      </c>
      <c r="F389" s="2"/>
      <c r="G389" s="2">
        <v>730923</v>
      </c>
      <c r="H389" s="33">
        <f t="shared" si="113"/>
        <v>3.8364967908076464</v>
      </c>
      <c r="I389" s="2">
        <v>614745</v>
      </c>
      <c r="J389" s="33">
        <f t="shared" si="114"/>
        <v>7.6421393539750886</v>
      </c>
      <c r="K389" s="2">
        <v>9800</v>
      </c>
      <c r="L389" s="33">
        <f t="shared" si="115"/>
        <v>8.5653104925053523</v>
      </c>
      <c r="M389" s="25">
        <v>296496</v>
      </c>
      <c r="N389" s="33">
        <f t="shared" si="116"/>
        <v>8.3180039663246763</v>
      </c>
      <c r="P389" s="24"/>
      <c r="Q389" s="24"/>
      <c r="R389" s="24"/>
      <c r="S389" s="24"/>
    </row>
    <row r="390" spans="1:19" x14ac:dyDescent="0.25">
      <c r="A390" s="62"/>
      <c r="B390" s="13" t="s">
        <v>360</v>
      </c>
      <c r="C390" s="63"/>
      <c r="D390" s="2">
        <v>1</v>
      </c>
      <c r="E390" s="2">
        <v>13508</v>
      </c>
      <c r="F390" s="2"/>
      <c r="G390" s="2">
        <v>699359</v>
      </c>
      <c r="H390" s="33">
        <f t="shared" si="113"/>
        <v>3.6708224520536974</v>
      </c>
      <c r="I390" s="2">
        <v>555945</v>
      </c>
      <c r="J390" s="33">
        <f t="shared" si="114"/>
        <v>6.9111731907468634</v>
      </c>
      <c r="K390" s="2">
        <v>7600</v>
      </c>
      <c r="L390" s="33">
        <f t="shared" si="115"/>
        <v>6.6424856880653751</v>
      </c>
      <c r="M390" s="25">
        <v>266508</v>
      </c>
      <c r="N390" s="33">
        <f t="shared" si="116"/>
        <v>7.4767099760443871</v>
      </c>
      <c r="P390" s="24"/>
      <c r="Q390" s="24"/>
      <c r="R390" s="24"/>
      <c r="S390" s="24"/>
    </row>
    <row r="391" spans="1:19" x14ac:dyDescent="0.25">
      <c r="A391" s="62"/>
      <c r="B391" s="13" t="s">
        <v>361</v>
      </c>
      <c r="C391" s="63"/>
      <c r="D391" s="2">
        <v>3</v>
      </c>
      <c r="E391" s="2">
        <v>23600</v>
      </c>
      <c r="F391" s="2"/>
      <c r="G391" s="2">
        <v>2256050</v>
      </c>
      <c r="H391" s="33">
        <f t="shared" si="113"/>
        <v>11.841642122222984</v>
      </c>
      <c r="I391" s="2">
        <v>1140794</v>
      </c>
      <c r="J391" s="33">
        <f t="shared" si="114"/>
        <v>14.181663490030269</v>
      </c>
      <c r="K391" s="2">
        <v>11000</v>
      </c>
      <c r="L391" s="33">
        <f t="shared" si="115"/>
        <v>9.6141240221998849</v>
      </c>
      <c r="M391" s="25">
        <v>885450</v>
      </c>
      <c r="N391" s="33">
        <f t="shared" si="116"/>
        <v>24.840728414488506</v>
      </c>
      <c r="P391" s="24"/>
      <c r="Q391" s="24"/>
      <c r="R391" s="24"/>
      <c r="S391" s="24"/>
    </row>
    <row r="392" spans="1:19" x14ac:dyDescent="0.25">
      <c r="A392" s="62"/>
      <c r="B392" s="13" t="s">
        <v>362</v>
      </c>
      <c r="C392" s="63"/>
      <c r="D392" s="2">
        <v>1</v>
      </c>
      <c r="E392" s="2">
        <v>0</v>
      </c>
      <c r="F392" s="2"/>
      <c r="G392" s="2">
        <v>890005</v>
      </c>
      <c r="H392" s="33">
        <f t="shared" si="113"/>
        <v>4.6714925187779821</v>
      </c>
      <c r="I392" s="25">
        <v>535947</v>
      </c>
      <c r="J392" s="33">
        <f t="shared" si="114"/>
        <v>6.6625701068652647</v>
      </c>
      <c r="K392" s="2">
        <v>0</v>
      </c>
      <c r="L392" s="33">
        <f t="shared" si="115"/>
        <v>0</v>
      </c>
      <c r="M392" s="25">
        <v>0</v>
      </c>
      <c r="N392" s="33">
        <f t="shared" si="116"/>
        <v>0</v>
      </c>
      <c r="P392" s="24"/>
      <c r="Q392" s="24"/>
      <c r="R392" s="24"/>
      <c r="S392" s="24"/>
    </row>
    <row r="393" spans="1:19" x14ac:dyDescent="0.25">
      <c r="A393" s="62"/>
      <c r="B393" s="13" t="s">
        <v>363</v>
      </c>
      <c r="C393" s="63"/>
      <c r="D393" s="2">
        <v>2</v>
      </c>
      <c r="E393" s="2">
        <v>0</v>
      </c>
      <c r="F393" s="2"/>
      <c r="G393" s="2">
        <v>1542230</v>
      </c>
      <c r="H393" s="33">
        <f t="shared" si="113"/>
        <v>8.0949162164650392</v>
      </c>
      <c r="I393" s="25">
        <v>659764</v>
      </c>
      <c r="J393" s="33">
        <f t="shared" si="114"/>
        <v>8.2017884305460313</v>
      </c>
      <c r="K393" s="2">
        <v>0</v>
      </c>
      <c r="L393" s="33">
        <f t="shared" si="115"/>
        <v>0</v>
      </c>
      <c r="M393" s="25">
        <v>0</v>
      </c>
      <c r="N393" s="33">
        <f t="shared" si="116"/>
        <v>0</v>
      </c>
      <c r="P393" s="24"/>
      <c r="Q393" s="24"/>
      <c r="R393" s="24"/>
      <c r="S393" s="24"/>
    </row>
    <row r="394" spans="1:19" x14ac:dyDescent="0.25">
      <c r="A394" s="62"/>
      <c r="B394" s="13" t="s">
        <v>364</v>
      </c>
      <c r="C394" s="63"/>
      <c r="D394" s="2">
        <v>1</v>
      </c>
      <c r="E394" s="2">
        <v>0</v>
      </c>
      <c r="F394" s="2"/>
      <c r="G394" s="2">
        <v>456000</v>
      </c>
      <c r="H394" s="33">
        <f t="shared" si="113"/>
        <v>2.3934703609111856</v>
      </c>
      <c r="I394" s="2">
        <v>0</v>
      </c>
      <c r="J394" s="33">
        <f t="shared" si="114"/>
        <v>0</v>
      </c>
      <c r="K394" s="2">
        <v>0</v>
      </c>
      <c r="L394" s="33">
        <f t="shared" si="115"/>
        <v>0</v>
      </c>
      <c r="M394" s="25">
        <v>0</v>
      </c>
      <c r="N394" s="33">
        <f t="shared" si="116"/>
        <v>0</v>
      </c>
      <c r="P394" s="24"/>
      <c r="Q394" s="24"/>
      <c r="R394" s="24"/>
      <c r="S394" s="24"/>
    </row>
    <row r="395" spans="1:19" x14ac:dyDescent="0.25">
      <c r="A395" s="62"/>
      <c r="B395" s="13" t="s">
        <v>365</v>
      </c>
      <c r="C395" s="63"/>
      <c r="D395" s="2">
        <v>2</v>
      </c>
      <c r="E395" s="25">
        <v>17000</v>
      </c>
      <c r="F395" s="25"/>
      <c r="G395" s="25">
        <v>1174161</v>
      </c>
      <c r="H395" s="33">
        <f t="shared" si="113"/>
        <v>6.1629814746443836</v>
      </c>
      <c r="I395" s="25">
        <v>155150</v>
      </c>
      <c r="J395" s="33">
        <f t="shared" si="114"/>
        <v>1.9287312963411416</v>
      </c>
      <c r="K395" s="25">
        <v>9600</v>
      </c>
      <c r="L395" s="33">
        <f t="shared" si="115"/>
        <v>8.3905082375562632</v>
      </c>
      <c r="M395" s="25">
        <v>82643</v>
      </c>
      <c r="N395" s="33">
        <f t="shared" si="116"/>
        <v>2.3184960397070116</v>
      </c>
      <c r="P395" s="24"/>
      <c r="Q395" s="24"/>
      <c r="R395" s="24"/>
      <c r="S395" s="24"/>
    </row>
    <row r="396" spans="1:19" x14ac:dyDescent="0.25">
      <c r="A396" s="62"/>
      <c r="B396" s="13" t="s">
        <v>370</v>
      </c>
      <c r="C396" s="63"/>
      <c r="D396" s="2">
        <v>1</v>
      </c>
      <c r="E396" s="2">
        <v>0</v>
      </c>
      <c r="F396" s="2"/>
      <c r="G396" s="2">
        <v>456222</v>
      </c>
      <c r="H396" s="33">
        <f t="shared" si="113"/>
        <v>2.3946356030605767</v>
      </c>
      <c r="I396" s="2">
        <v>0</v>
      </c>
      <c r="J396" s="33">
        <f t="shared" si="114"/>
        <v>0</v>
      </c>
      <c r="K396" s="2">
        <v>0</v>
      </c>
      <c r="L396" s="33">
        <f t="shared" si="115"/>
        <v>0</v>
      </c>
      <c r="M396" s="25">
        <v>0</v>
      </c>
      <c r="N396" s="33">
        <f t="shared" si="116"/>
        <v>0</v>
      </c>
      <c r="O396" s="1" t="s">
        <v>2</v>
      </c>
      <c r="P396" s="24"/>
      <c r="Q396" s="24"/>
      <c r="R396" s="24"/>
      <c r="S396" s="24"/>
    </row>
    <row r="397" spans="1:19" x14ac:dyDescent="0.25">
      <c r="A397" s="62"/>
      <c r="B397" s="13" t="s">
        <v>366</v>
      </c>
      <c r="C397" s="63"/>
      <c r="D397" s="2">
        <v>1</v>
      </c>
      <c r="E397" s="2">
        <v>0</v>
      </c>
      <c r="F397" s="2"/>
      <c r="G397" s="2">
        <v>750033</v>
      </c>
      <c r="H397" s="33">
        <f t="shared" si="113"/>
        <v>3.9368020947484639</v>
      </c>
      <c r="I397" s="25">
        <v>655945</v>
      </c>
      <c r="J397" s="33">
        <f t="shared" si="114"/>
        <v>8.1543129241281989</v>
      </c>
      <c r="K397" s="2">
        <v>0</v>
      </c>
      <c r="L397" s="33">
        <f t="shared" si="115"/>
        <v>0</v>
      </c>
      <c r="M397" s="25">
        <v>98500</v>
      </c>
      <c r="N397" s="33">
        <f t="shared" si="116"/>
        <v>2.7633539429974792</v>
      </c>
      <c r="P397" s="24"/>
      <c r="Q397" s="24"/>
      <c r="R397" s="24"/>
      <c r="S397" s="24"/>
    </row>
    <row r="398" spans="1:19" x14ac:dyDescent="0.25">
      <c r="A398" s="62"/>
      <c r="B398" s="13" t="s">
        <v>367</v>
      </c>
      <c r="C398" s="63"/>
      <c r="D398" s="2">
        <v>1</v>
      </c>
      <c r="E398" s="2">
        <v>0</v>
      </c>
      <c r="F398" s="2"/>
      <c r="G398" s="2">
        <v>961331</v>
      </c>
      <c r="H398" s="33">
        <f t="shared" si="113"/>
        <v>5.045871174397174</v>
      </c>
      <c r="I398" s="25">
        <v>425945</v>
      </c>
      <c r="J398" s="33">
        <f t="shared" si="114"/>
        <v>5.2950915373511283</v>
      </c>
      <c r="K398" s="2">
        <v>0</v>
      </c>
      <c r="L398" s="33">
        <f t="shared" si="115"/>
        <v>0</v>
      </c>
      <c r="M398" s="25">
        <v>0</v>
      </c>
      <c r="N398" s="33">
        <f t="shared" si="116"/>
        <v>0</v>
      </c>
      <c r="P398" s="24"/>
      <c r="Q398" s="24"/>
      <c r="R398" s="24"/>
      <c r="S398" s="24"/>
    </row>
    <row r="399" spans="1:19" x14ac:dyDescent="0.25">
      <c r="A399" s="62"/>
      <c r="B399" s="13" t="s">
        <v>368</v>
      </c>
      <c r="C399" s="63"/>
      <c r="D399" s="2">
        <v>1</v>
      </c>
      <c r="E399" s="2">
        <v>0</v>
      </c>
      <c r="F399" s="2"/>
      <c r="G399" s="2">
        <v>485006</v>
      </c>
      <c r="H399" s="33">
        <f t="shared" si="113"/>
        <v>2.5457181707545846</v>
      </c>
      <c r="I399" s="25">
        <v>388945</v>
      </c>
      <c r="J399" s="33">
        <f t="shared" si="114"/>
        <v>4.8351298360000339</v>
      </c>
      <c r="K399" s="2">
        <v>0</v>
      </c>
      <c r="L399" s="33">
        <f t="shared" si="115"/>
        <v>0</v>
      </c>
      <c r="M399" s="25">
        <v>0</v>
      </c>
      <c r="N399" s="33">
        <f t="shared" si="116"/>
        <v>0</v>
      </c>
      <c r="P399" s="24"/>
      <c r="Q399" s="24"/>
      <c r="R399" s="24"/>
      <c r="S399" s="24"/>
    </row>
    <row r="400" spans="1:19" x14ac:dyDescent="0.25">
      <c r="A400" s="62"/>
      <c r="B400" s="13" t="s">
        <v>369</v>
      </c>
      <c r="C400" s="63"/>
      <c r="D400" s="2">
        <v>1</v>
      </c>
      <c r="E400" s="2">
        <v>22850</v>
      </c>
      <c r="F400" s="2"/>
      <c r="G400" s="2">
        <v>562000</v>
      </c>
      <c r="H400" s="33">
        <f t="shared" si="113"/>
        <v>2.9498472430528211</v>
      </c>
      <c r="I400" s="2">
        <v>0</v>
      </c>
      <c r="J400" s="33">
        <f t="shared" si="114"/>
        <v>0</v>
      </c>
      <c r="K400" s="2">
        <v>0</v>
      </c>
      <c r="L400" s="33">
        <f t="shared" si="115"/>
        <v>0</v>
      </c>
      <c r="M400" s="25">
        <v>0</v>
      </c>
      <c r="N400" s="33">
        <f t="shared" si="116"/>
        <v>0</v>
      </c>
      <c r="P400" s="24"/>
      <c r="Q400" s="24"/>
      <c r="R400" s="24"/>
      <c r="S400" s="24"/>
    </row>
    <row r="401" spans="1:19" ht="15.75" x14ac:dyDescent="0.25">
      <c r="A401" s="3"/>
      <c r="B401" s="14"/>
      <c r="C401" s="3"/>
      <c r="D401" s="3">
        <f>SUM(D381:D400)</f>
        <v>27</v>
      </c>
      <c r="E401" s="21">
        <f>SUM(E381:E400)</f>
        <v>123548</v>
      </c>
      <c r="F401" s="17">
        <v>1</v>
      </c>
      <c r="G401" s="21">
        <f>SUM(G381:G400)</f>
        <v>19051834</v>
      </c>
      <c r="H401" s="17">
        <v>1</v>
      </c>
      <c r="I401" s="21">
        <f>SUM(I381:I400)</f>
        <v>8044148</v>
      </c>
      <c r="J401" s="17">
        <v>1</v>
      </c>
      <c r="K401" s="21">
        <f>SUM(K377:K400)</f>
        <v>114415</v>
      </c>
      <c r="L401" s="17">
        <v>1</v>
      </c>
      <c r="M401" s="21">
        <f>SUM(M381:M400)</f>
        <v>3564509</v>
      </c>
      <c r="N401" s="17">
        <v>1</v>
      </c>
      <c r="P401" s="28"/>
      <c r="Q401" s="24"/>
      <c r="R401" s="24"/>
      <c r="S401" s="24"/>
    </row>
    <row r="402" spans="1:19" ht="20.25" customHeight="1" x14ac:dyDescent="0.25">
      <c r="A402" s="62" t="s">
        <v>434</v>
      </c>
      <c r="B402" s="13" t="s">
        <v>371</v>
      </c>
      <c r="C402" s="63" t="s">
        <v>88</v>
      </c>
      <c r="D402" s="2">
        <v>1</v>
      </c>
      <c r="E402" s="2">
        <v>0</v>
      </c>
      <c r="F402" s="33">
        <f>E402/23.5</f>
        <v>0</v>
      </c>
      <c r="G402" s="2">
        <v>475000</v>
      </c>
      <c r="H402" s="33">
        <f>G402/15165.3</f>
        <v>31.321503695937437</v>
      </c>
      <c r="I402" s="2">
        <v>120050</v>
      </c>
      <c r="J402" s="33">
        <f>I402/4420.53</f>
        <v>27.157377056597287</v>
      </c>
      <c r="K402" s="2">
        <v>0</v>
      </c>
      <c r="L402" s="2">
        <v>0</v>
      </c>
      <c r="M402" s="25">
        <v>99445</v>
      </c>
      <c r="N402" s="33">
        <f>M402/8393.74</f>
        <v>11.847519699204408</v>
      </c>
      <c r="P402" s="24"/>
      <c r="Q402" s="24"/>
      <c r="R402" s="24"/>
      <c r="S402" s="24"/>
    </row>
    <row r="403" spans="1:19" ht="15" customHeight="1" x14ac:dyDescent="0.25">
      <c r="A403" s="62"/>
      <c r="B403" s="13" t="s">
        <v>375</v>
      </c>
      <c r="C403" s="63"/>
      <c r="D403" s="2">
        <v>2</v>
      </c>
      <c r="E403" s="2">
        <v>1300</v>
      </c>
      <c r="F403" s="33">
        <f t="shared" ref="F403:F406" si="117">E403/23.5</f>
        <v>55.319148936170215</v>
      </c>
      <c r="G403" s="2">
        <v>524000</v>
      </c>
      <c r="H403" s="33">
        <f t="shared" ref="H403:H406" si="118">G403/15165.3</f>
        <v>34.552564077202561</v>
      </c>
      <c r="I403" s="2">
        <v>148880</v>
      </c>
      <c r="J403" s="33">
        <f t="shared" ref="J403:J406" si="119">I403/4420.53</f>
        <v>33.679219460109991</v>
      </c>
      <c r="K403" s="2">
        <v>0</v>
      </c>
      <c r="L403" s="2">
        <v>0</v>
      </c>
      <c r="M403" s="25">
        <v>121774</v>
      </c>
      <c r="N403" s="33">
        <f t="shared" ref="N403:N406" si="120">M403/8393.74</f>
        <v>14.507716464889311</v>
      </c>
      <c r="P403" s="24"/>
      <c r="Q403" s="24"/>
      <c r="R403" s="24"/>
      <c r="S403" s="24"/>
    </row>
    <row r="404" spans="1:19" ht="21" customHeight="1" x14ac:dyDescent="0.25">
      <c r="A404" s="62"/>
      <c r="B404" s="13" t="s">
        <v>374</v>
      </c>
      <c r="C404" s="63"/>
      <c r="D404" s="2">
        <v>1</v>
      </c>
      <c r="E404" s="2">
        <v>1050</v>
      </c>
      <c r="F404" s="33">
        <f t="shared" si="117"/>
        <v>44.680851063829785</v>
      </c>
      <c r="G404" s="2">
        <v>240900</v>
      </c>
      <c r="H404" s="33">
        <f t="shared" si="118"/>
        <v>15.884947874423849</v>
      </c>
      <c r="I404" s="2">
        <v>85000</v>
      </c>
      <c r="J404" s="33">
        <f t="shared" si="119"/>
        <v>19.228463555275049</v>
      </c>
      <c r="K404" s="2">
        <v>0</v>
      </c>
      <c r="L404" s="2">
        <v>0</v>
      </c>
      <c r="M404" s="25">
        <v>567545</v>
      </c>
      <c r="N404" s="33">
        <f t="shared" si="120"/>
        <v>67.615270427723516</v>
      </c>
      <c r="P404" s="24"/>
      <c r="Q404" s="24"/>
      <c r="R404" s="24"/>
      <c r="S404" s="24"/>
    </row>
    <row r="405" spans="1:19" ht="16.5" customHeight="1" x14ac:dyDescent="0.25">
      <c r="A405" s="62"/>
      <c r="B405" s="13" t="s">
        <v>373</v>
      </c>
      <c r="C405" s="63"/>
      <c r="D405" s="2">
        <v>1</v>
      </c>
      <c r="E405" s="2">
        <v>0</v>
      </c>
      <c r="F405" s="33">
        <f t="shared" si="117"/>
        <v>0</v>
      </c>
      <c r="G405" s="25">
        <v>112080</v>
      </c>
      <c r="H405" s="33">
        <f t="shared" si="118"/>
        <v>7.3905560720856167</v>
      </c>
      <c r="I405" s="2">
        <v>12033</v>
      </c>
      <c r="J405" s="33">
        <f t="shared" si="119"/>
        <v>2.7220717877720548</v>
      </c>
      <c r="K405" s="2">
        <v>0</v>
      </c>
      <c r="L405" s="2">
        <v>0</v>
      </c>
      <c r="M405" s="25">
        <v>18104</v>
      </c>
      <c r="N405" s="33">
        <f t="shared" si="120"/>
        <v>2.1568454586394146</v>
      </c>
      <c r="P405" s="24"/>
      <c r="Q405" s="24"/>
      <c r="R405" s="24"/>
      <c r="S405" s="24"/>
    </row>
    <row r="406" spans="1:19" ht="20.25" customHeight="1" x14ac:dyDescent="0.25">
      <c r="A406" s="62"/>
      <c r="B406" s="13" t="s">
        <v>372</v>
      </c>
      <c r="C406" s="63"/>
      <c r="D406" s="2">
        <v>1</v>
      </c>
      <c r="E406" s="2">
        <v>0</v>
      </c>
      <c r="F406" s="33">
        <f t="shared" si="117"/>
        <v>0</v>
      </c>
      <c r="G406" s="2">
        <v>164550</v>
      </c>
      <c r="H406" s="33">
        <f t="shared" si="118"/>
        <v>10.850428280350538</v>
      </c>
      <c r="I406" s="2">
        <v>76090</v>
      </c>
      <c r="J406" s="33">
        <f t="shared" si="119"/>
        <v>17.212868140245629</v>
      </c>
      <c r="K406" s="2">
        <v>0</v>
      </c>
      <c r="L406" s="2">
        <v>0</v>
      </c>
      <c r="M406" s="25">
        <v>32505.5</v>
      </c>
      <c r="N406" s="33">
        <f t="shared" si="120"/>
        <v>3.8725883813413331</v>
      </c>
      <c r="P406" s="24"/>
      <c r="Q406" s="24"/>
      <c r="R406" s="24"/>
      <c r="S406" s="24"/>
    </row>
    <row r="407" spans="1:19" ht="15.75" x14ac:dyDescent="0.25">
      <c r="A407" s="3"/>
      <c r="B407" s="14"/>
      <c r="C407" s="3"/>
      <c r="D407" s="3">
        <v>6</v>
      </c>
      <c r="E407" s="21">
        <f>SUM(E402:E406)</f>
        <v>2350</v>
      </c>
      <c r="F407" s="17">
        <v>1</v>
      </c>
      <c r="G407" s="21">
        <f>SUM(G402:G406)</f>
        <v>1516530</v>
      </c>
      <c r="H407" s="17">
        <v>1</v>
      </c>
      <c r="I407" s="21">
        <f>SUM(I402:I406)</f>
        <v>442053</v>
      </c>
      <c r="J407" s="17">
        <v>1</v>
      </c>
      <c r="K407" s="21">
        <v>0</v>
      </c>
      <c r="L407" s="17">
        <v>1</v>
      </c>
      <c r="M407" s="21">
        <f>SUM(M402:M406)</f>
        <v>839373.5</v>
      </c>
      <c r="N407" s="17">
        <v>1</v>
      </c>
      <c r="P407" s="28"/>
      <c r="Q407" s="24"/>
      <c r="R407" s="24"/>
      <c r="S407" s="24"/>
    </row>
    <row r="408" spans="1:19" ht="28.5" customHeight="1" x14ac:dyDescent="0.25">
      <c r="A408" s="62" t="s">
        <v>428</v>
      </c>
      <c r="B408" s="13" t="s">
        <v>376</v>
      </c>
      <c r="C408" s="63" t="s">
        <v>88</v>
      </c>
      <c r="D408" s="2">
        <v>1</v>
      </c>
      <c r="E408" s="2">
        <v>0</v>
      </c>
      <c r="F408" s="2">
        <v>0</v>
      </c>
      <c r="G408" s="2">
        <v>122494</v>
      </c>
      <c r="H408" s="33">
        <f>G408/24547.83</f>
        <v>4.9900133738908892</v>
      </c>
      <c r="I408" s="2">
        <v>9551</v>
      </c>
      <c r="J408" s="33">
        <f>I408/8476.41</f>
        <v>1.1267741886010705</v>
      </c>
      <c r="K408" s="2">
        <v>0</v>
      </c>
      <c r="L408" s="2">
        <v>0</v>
      </c>
      <c r="M408" s="25">
        <v>0</v>
      </c>
      <c r="N408" s="33">
        <f>M408/2060.95</f>
        <v>0</v>
      </c>
      <c r="P408" s="24"/>
      <c r="Q408" s="24"/>
      <c r="R408" s="24"/>
      <c r="S408" s="24"/>
    </row>
    <row r="409" spans="1:19" ht="29.25" customHeight="1" x14ac:dyDescent="0.25">
      <c r="A409" s="62"/>
      <c r="B409" s="13" t="s">
        <v>377</v>
      </c>
      <c r="C409" s="63"/>
      <c r="D409" s="2">
        <v>1</v>
      </c>
      <c r="E409" s="2">
        <v>0</v>
      </c>
      <c r="F409" s="2">
        <v>0</v>
      </c>
      <c r="G409" s="2">
        <v>144190</v>
      </c>
      <c r="H409" s="33">
        <f t="shared" ref="H409:H411" si="121">G409/24547.83</f>
        <v>5.8738389503267694</v>
      </c>
      <c r="I409" s="2">
        <v>61223</v>
      </c>
      <c r="J409" s="33">
        <f t="shared" ref="J409:J411" si="122">I409/8476.41</f>
        <v>7.2227511411080876</v>
      </c>
      <c r="K409" s="2">
        <v>0</v>
      </c>
      <c r="L409" s="2">
        <v>0</v>
      </c>
      <c r="M409" s="25">
        <v>82542</v>
      </c>
      <c r="N409" s="33">
        <f t="shared" ref="N409:N411" si="123">M409/2060.95</f>
        <v>40.050462165506204</v>
      </c>
      <c r="P409" s="24"/>
      <c r="Q409" s="24"/>
      <c r="R409" s="24"/>
      <c r="S409" s="24"/>
    </row>
    <row r="410" spans="1:19" ht="24.75" customHeight="1" x14ac:dyDescent="0.25">
      <c r="A410" s="62"/>
      <c r="B410" s="13" t="s">
        <v>378</v>
      </c>
      <c r="C410" s="63"/>
      <c r="D410" s="2">
        <v>1</v>
      </c>
      <c r="E410" s="2">
        <v>0</v>
      </c>
      <c r="F410" s="2">
        <v>0</v>
      </c>
      <c r="G410" s="2">
        <v>1255751</v>
      </c>
      <c r="H410" s="33">
        <f t="shared" si="121"/>
        <v>51.155275232067353</v>
      </c>
      <c r="I410" s="2">
        <v>433194</v>
      </c>
      <c r="J410" s="33">
        <f t="shared" si="122"/>
        <v>51.105833719699731</v>
      </c>
      <c r="K410" s="2">
        <v>0</v>
      </c>
      <c r="L410" s="2">
        <v>0</v>
      </c>
      <c r="M410" s="25">
        <v>74999</v>
      </c>
      <c r="N410" s="33">
        <f t="shared" si="123"/>
        <v>36.390499526917203</v>
      </c>
      <c r="P410" s="24"/>
      <c r="Q410" s="24"/>
      <c r="R410" s="24"/>
      <c r="S410" s="24"/>
    </row>
    <row r="411" spans="1:19" ht="18.75" customHeight="1" x14ac:dyDescent="0.25">
      <c r="A411" s="62"/>
      <c r="B411" s="13" t="s">
        <v>379</v>
      </c>
      <c r="C411" s="63"/>
      <c r="D411" s="2">
        <v>1</v>
      </c>
      <c r="E411" s="2">
        <v>0</v>
      </c>
      <c r="F411" s="2">
        <v>0</v>
      </c>
      <c r="G411" s="2">
        <v>932348</v>
      </c>
      <c r="H411" s="33">
        <f t="shared" si="121"/>
        <v>37.980872443714979</v>
      </c>
      <c r="I411" s="2">
        <v>343673</v>
      </c>
      <c r="J411" s="33">
        <f t="shared" si="122"/>
        <v>40.544640950591109</v>
      </c>
      <c r="K411" s="2">
        <v>0</v>
      </c>
      <c r="L411" s="2">
        <v>0</v>
      </c>
      <c r="M411" s="25">
        <v>48554</v>
      </c>
      <c r="N411" s="33">
        <f t="shared" si="123"/>
        <v>23.559038307576603</v>
      </c>
      <c r="P411" s="24"/>
      <c r="Q411" s="24"/>
      <c r="R411" s="24"/>
      <c r="S411" s="24"/>
    </row>
    <row r="412" spans="1:19" ht="15.75" x14ac:dyDescent="0.25">
      <c r="A412" s="3"/>
      <c r="B412" s="14"/>
      <c r="C412" s="3"/>
      <c r="D412" s="3">
        <v>4</v>
      </c>
      <c r="E412" s="21">
        <v>0</v>
      </c>
      <c r="F412" s="17">
        <v>1</v>
      </c>
      <c r="G412" s="21">
        <f>SUM(G408:G411)</f>
        <v>2454783</v>
      </c>
      <c r="H412" s="17">
        <v>1</v>
      </c>
      <c r="I412" s="21">
        <f>SUM(I408:I411)</f>
        <v>847641</v>
      </c>
      <c r="J412" s="17">
        <v>1</v>
      </c>
      <c r="K412" s="21">
        <v>0</v>
      </c>
      <c r="L412" s="17">
        <v>1</v>
      </c>
      <c r="M412" s="21">
        <f>SUM(M408:M411)</f>
        <v>206095</v>
      </c>
      <c r="N412" s="17">
        <v>1</v>
      </c>
      <c r="P412" s="28"/>
      <c r="Q412" s="24"/>
      <c r="R412" s="24"/>
      <c r="S412" s="24"/>
    </row>
    <row r="413" spans="1:19" ht="30.75" customHeight="1" x14ac:dyDescent="0.25">
      <c r="A413" s="62" t="s">
        <v>524</v>
      </c>
      <c r="B413" s="13" t="s">
        <v>380</v>
      </c>
      <c r="C413" s="63" t="s">
        <v>88</v>
      </c>
      <c r="D413" s="2">
        <v>1</v>
      </c>
      <c r="E413" s="2">
        <v>3600</v>
      </c>
      <c r="F413" s="33">
        <f>E413/68.9</f>
        <v>52.249637155297528</v>
      </c>
      <c r="G413" s="2">
        <v>267500</v>
      </c>
      <c r="H413" s="33">
        <f>G413/9821.6</f>
        <v>27.235888246314246</v>
      </c>
      <c r="I413" s="2">
        <v>140660</v>
      </c>
      <c r="J413" s="2">
        <f>I413/5812</f>
        <v>24.201651754989676</v>
      </c>
      <c r="K413" s="2">
        <v>0</v>
      </c>
      <c r="L413" s="2">
        <v>0</v>
      </c>
      <c r="M413" s="25">
        <v>80570</v>
      </c>
      <c r="N413" s="33">
        <f>M413/2400.5</f>
        <v>33.563840866486146</v>
      </c>
      <c r="P413" s="24"/>
      <c r="Q413" s="24"/>
      <c r="R413" s="24"/>
      <c r="S413" s="24"/>
    </row>
    <row r="414" spans="1:19" ht="28.5" customHeight="1" x14ac:dyDescent="0.25">
      <c r="A414" s="62"/>
      <c r="B414" s="13" t="s">
        <v>381</v>
      </c>
      <c r="C414" s="63"/>
      <c r="D414" s="2">
        <v>1</v>
      </c>
      <c r="E414" s="2">
        <v>790</v>
      </c>
      <c r="F414" s="33">
        <f t="shared" ref="F414:F415" si="124">E414/68.9</f>
        <v>11.465892597968068</v>
      </c>
      <c r="G414" s="2">
        <v>498070</v>
      </c>
      <c r="H414" s="33">
        <f t="shared" ref="H414:H415" si="125">G414/9821.6</f>
        <v>50.711696668567235</v>
      </c>
      <c r="I414" s="2">
        <v>320660</v>
      </c>
      <c r="J414" s="25">
        <f t="shared" ref="J414:J415" si="126">I414/5812</f>
        <v>55.172057811424636</v>
      </c>
      <c r="K414" s="2">
        <v>0</v>
      </c>
      <c r="L414" s="2">
        <v>0</v>
      </c>
      <c r="M414" s="25">
        <v>100900</v>
      </c>
      <c r="N414" s="33">
        <f t="shared" ref="N414:N415" si="127">M414/2400.5</f>
        <v>42.032909810456154</v>
      </c>
      <c r="P414" s="24"/>
      <c r="Q414" s="24"/>
      <c r="R414" s="24"/>
      <c r="S414" s="24"/>
    </row>
    <row r="415" spans="1:19" ht="42" customHeight="1" x14ac:dyDescent="0.25">
      <c r="A415" s="62"/>
      <c r="B415" s="13" t="s">
        <v>382</v>
      </c>
      <c r="C415" s="63"/>
      <c r="D415" s="2">
        <v>1</v>
      </c>
      <c r="E415" s="2">
        <v>2500</v>
      </c>
      <c r="F415" s="33">
        <f t="shared" si="124"/>
        <v>36.284470246734394</v>
      </c>
      <c r="G415" s="2">
        <v>216590</v>
      </c>
      <c r="H415" s="33">
        <f t="shared" si="125"/>
        <v>22.052415085118515</v>
      </c>
      <c r="I415" s="2">
        <v>119880</v>
      </c>
      <c r="J415" s="25">
        <f t="shared" si="126"/>
        <v>20.626290433585684</v>
      </c>
      <c r="K415" s="2">
        <v>0</v>
      </c>
      <c r="L415" s="2">
        <v>0</v>
      </c>
      <c r="M415" s="25">
        <v>58580</v>
      </c>
      <c r="N415" s="33">
        <f t="shared" si="127"/>
        <v>24.403249323057697</v>
      </c>
      <c r="P415" s="24"/>
      <c r="Q415" s="24"/>
      <c r="R415" s="24"/>
      <c r="S415" s="24"/>
    </row>
    <row r="416" spans="1:19" ht="15" customHeight="1" x14ac:dyDescent="0.25">
      <c r="A416" s="8"/>
      <c r="B416" s="14"/>
      <c r="C416" s="9"/>
      <c r="D416" s="3">
        <v>3</v>
      </c>
      <c r="E416" s="21">
        <f>SUM(E413:E415)</f>
        <v>6890</v>
      </c>
      <c r="F416" s="17">
        <v>1</v>
      </c>
      <c r="G416" s="21">
        <f>SUM(G413:G415)</f>
        <v>982160</v>
      </c>
      <c r="H416" s="17">
        <v>1</v>
      </c>
      <c r="I416" s="21">
        <f>SUM(I413:I415)</f>
        <v>581200</v>
      </c>
      <c r="J416" s="17">
        <v>1</v>
      </c>
      <c r="K416" s="21">
        <v>0</v>
      </c>
      <c r="L416" s="17">
        <v>1</v>
      </c>
      <c r="M416" s="21">
        <f>SUM(M413:M415)</f>
        <v>240050</v>
      </c>
      <c r="N416" s="17">
        <v>1</v>
      </c>
      <c r="P416" s="28"/>
      <c r="Q416" s="24"/>
      <c r="R416" s="24"/>
      <c r="S416" s="24"/>
    </row>
    <row r="417" spans="1:19" ht="15" customHeight="1" x14ac:dyDescent="0.25">
      <c r="A417" s="62" t="s">
        <v>383</v>
      </c>
      <c r="B417" s="13" t="s">
        <v>384</v>
      </c>
      <c r="C417" s="63" t="s">
        <v>88</v>
      </c>
      <c r="D417" s="2">
        <v>2</v>
      </c>
      <c r="E417" s="2">
        <v>6500</v>
      </c>
      <c r="F417" s="33">
        <f>E417/235.68</f>
        <v>27.579769178547181</v>
      </c>
      <c r="G417" s="2">
        <v>918245</v>
      </c>
      <c r="H417" s="33">
        <f>G417/84525.71</f>
        <v>10.863499401543033</v>
      </c>
      <c r="I417" s="2">
        <v>335181</v>
      </c>
      <c r="J417" s="33">
        <f>I417/34782.58</f>
        <v>9.6364617000809023</v>
      </c>
      <c r="K417" s="2">
        <v>6320</v>
      </c>
      <c r="L417" s="33">
        <f>K417/501.7</f>
        <v>12.597169623280845</v>
      </c>
      <c r="M417" s="33">
        <v>243751.25000000003</v>
      </c>
      <c r="N417" s="33">
        <f>M417/11897.45</f>
        <v>20.487688538300226</v>
      </c>
      <c r="P417" s="24"/>
      <c r="Q417" s="24"/>
      <c r="R417" s="24"/>
      <c r="S417" s="24"/>
    </row>
    <row r="418" spans="1:19" ht="15" customHeight="1" x14ac:dyDescent="0.25">
      <c r="A418" s="62"/>
      <c r="B418" s="13" t="s">
        <v>385</v>
      </c>
      <c r="C418" s="63"/>
      <c r="D418" s="2">
        <v>1</v>
      </c>
      <c r="E418" s="2">
        <v>0</v>
      </c>
      <c r="F418" s="33">
        <f t="shared" ref="F418:F425" si="128">E418/235.68</f>
        <v>0</v>
      </c>
      <c r="G418" s="2">
        <v>850759</v>
      </c>
      <c r="H418" s="33">
        <f t="shared" ref="H418:H425" si="129">G418/84525.71</f>
        <v>10.065091437859557</v>
      </c>
      <c r="I418" s="2">
        <v>435966</v>
      </c>
      <c r="J418" s="33">
        <f t="shared" ref="J418:J425" si="130">I418/34782.58</f>
        <v>12.534032840577092</v>
      </c>
      <c r="K418" s="2">
        <v>13100</v>
      </c>
      <c r="L418" s="33">
        <f t="shared" ref="L418:L425" si="131">K418/501.7</f>
        <v>26.111221845724536</v>
      </c>
      <c r="M418" s="33">
        <v>241105.82</v>
      </c>
      <c r="N418" s="33">
        <f t="shared" ref="N418:N425" si="132">M418/11897.45</f>
        <v>20.265335849278625</v>
      </c>
      <c r="P418" s="24"/>
      <c r="Q418" s="24"/>
      <c r="R418" s="24"/>
      <c r="S418" s="24"/>
    </row>
    <row r="419" spans="1:19" ht="15" customHeight="1" x14ac:dyDescent="0.25">
      <c r="A419" s="62"/>
      <c r="B419" s="13" t="s">
        <v>386</v>
      </c>
      <c r="C419" s="63"/>
      <c r="D419" s="2">
        <v>1</v>
      </c>
      <c r="E419" s="2">
        <v>4090</v>
      </c>
      <c r="F419" s="33">
        <f t="shared" si="128"/>
        <v>17.354039375424303</v>
      </c>
      <c r="G419" s="2">
        <v>1133785</v>
      </c>
      <c r="H419" s="33">
        <f t="shared" si="129"/>
        <v>13.413492770424524</v>
      </c>
      <c r="I419" s="2">
        <v>475626</v>
      </c>
      <c r="J419" s="33">
        <f t="shared" si="130"/>
        <v>13.674258781263493</v>
      </c>
      <c r="K419" s="2">
        <v>0</v>
      </c>
      <c r="L419" s="33">
        <f t="shared" si="131"/>
        <v>0</v>
      </c>
      <c r="M419" s="33">
        <v>0</v>
      </c>
      <c r="N419" s="33">
        <f t="shared" si="132"/>
        <v>0</v>
      </c>
      <c r="P419" s="24"/>
      <c r="Q419" s="24"/>
      <c r="R419" s="24"/>
      <c r="S419" s="24"/>
    </row>
    <row r="420" spans="1:19" ht="15" customHeight="1" x14ac:dyDescent="0.25">
      <c r="A420" s="62"/>
      <c r="B420" s="13" t="s">
        <v>387</v>
      </c>
      <c r="C420" s="63"/>
      <c r="D420" s="2">
        <v>1</v>
      </c>
      <c r="E420" s="2">
        <v>0</v>
      </c>
      <c r="F420" s="33">
        <f t="shared" si="128"/>
        <v>0</v>
      </c>
      <c r="G420" s="2">
        <v>1211490</v>
      </c>
      <c r="H420" s="33">
        <f t="shared" si="129"/>
        <v>14.33279886084364</v>
      </c>
      <c r="I420" s="2">
        <v>506747</v>
      </c>
      <c r="J420" s="33">
        <f t="shared" si="130"/>
        <v>14.568988269415321</v>
      </c>
      <c r="K420" s="2">
        <v>7750</v>
      </c>
      <c r="L420" s="33">
        <f t="shared" si="131"/>
        <v>15.447478572852303</v>
      </c>
      <c r="M420" s="33">
        <v>203725.36000000002</v>
      </c>
      <c r="N420" s="33">
        <f t="shared" si="132"/>
        <v>17.123447461430811</v>
      </c>
      <c r="P420" s="24"/>
      <c r="Q420" s="24"/>
      <c r="R420" s="24"/>
      <c r="S420" s="24"/>
    </row>
    <row r="421" spans="1:19" ht="15" customHeight="1" x14ac:dyDescent="0.25">
      <c r="A421" s="62"/>
      <c r="B421" s="13" t="s">
        <v>388</v>
      </c>
      <c r="C421" s="63"/>
      <c r="D421" s="2">
        <v>2</v>
      </c>
      <c r="E421" s="2">
        <v>8000</v>
      </c>
      <c r="F421" s="33">
        <f t="shared" si="128"/>
        <v>33.944331296673454</v>
      </c>
      <c r="G421" s="2">
        <v>586705</v>
      </c>
      <c r="H421" s="33">
        <f t="shared" si="129"/>
        <v>6.9411425233813473</v>
      </c>
      <c r="I421" s="2">
        <v>256520</v>
      </c>
      <c r="J421" s="33">
        <f t="shared" si="130"/>
        <v>7.3749560843387689</v>
      </c>
      <c r="K421" s="2">
        <v>0</v>
      </c>
      <c r="L421" s="33">
        <f t="shared" si="131"/>
        <v>0</v>
      </c>
      <c r="M421" s="33">
        <v>36703.57</v>
      </c>
      <c r="N421" s="33">
        <f t="shared" si="132"/>
        <v>3.0849946837347497</v>
      </c>
      <c r="P421" s="24"/>
      <c r="Q421" s="24"/>
      <c r="R421" s="24"/>
      <c r="S421" s="24"/>
    </row>
    <row r="422" spans="1:19" ht="15" customHeight="1" x14ac:dyDescent="0.25">
      <c r="A422" s="62"/>
      <c r="B422" s="13" t="s">
        <v>389</v>
      </c>
      <c r="C422" s="63"/>
      <c r="D422" s="2">
        <v>1</v>
      </c>
      <c r="E422" s="2">
        <v>0</v>
      </c>
      <c r="F422" s="33">
        <f t="shared" si="128"/>
        <v>0</v>
      </c>
      <c r="G422" s="2">
        <v>829656</v>
      </c>
      <c r="H422" s="33">
        <f t="shared" si="129"/>
        <v>9.8154277556497291</v>
      </c>
      <c r="I422" s="2">
        <v>353822</v>
      </c>
      <c r="J422" s="33">
        <f t="shared" si="130"/>
        <v>10.172390892222486</v>
      </c>
      <c r="K422" s="2">
        <v>14600</v>
      </c>
      <c r="L422" s="33">
        <f t="shared" si="131"/>
        <v>29.101056408212081</v>
      </c>
      <c r="M422" s="33">
        <v>142245</v>
      </c>
      <c r="N422" s="33">
        <f t="shared" si="132"/>
        <v>11.955923328108124</v>
      </c>
      <c r="P422" s="24"/>
      <c r="Q422" s="24"/>
      <c r="R422" s="24"/>
      <c r="S422" s="24"/>
    </row>
    <row r="423" spans="1:19" ht="15" customHeight="1" x14ac:dyDescent="0.25">
      <c r="A423" s="62"/>
      <c r="B423" s="13" t="s">
        <v>390</v>
      </c>
      <c r="C423" s="63"/>
      <c r="D423" s="2">
        <v>1</v>
      </c>
      <c r="E423" s="2">
        <v>3900</v>
      </c>
      <c r="F423" s="33">
        <f t="shared" si="128"/>
        <v>16.54786150712831</v>
      </c>
      <c r="G423" s="2">
        <v>765244.04</v>
      </c>
      <c r="H423" s="33">
        <f t="shared" si="129"/>
        <v>9.0533878981909766</v>
      </c>
      <c r="I423" s="2">
        <v>312923</v>
      </c>
      <c r="J423" s="33">
        <f t="shared" si="130"/>
        <v>8.9965436721485297</v>
      </c>
      <c r="K423" s="2">
        <v>0</v>
      </c>
      <c r="L423" s="33">
        <f t="shared" si="131"/>
        <v>0</v>
      </c>
      <c r="M423" s="33">
        <v>0</v>
      </c>
      <c r="N423" s="33">
        <f t="shared" si="132"/>
        <v>0</v>
      </c>
      <c r="P423" s="24"/>
      <c r="Q423" s="24"/>
      <c r="R423" s="24"/>
      <c r="S423" s="24"/>
    </row>
    <row r="424" spans="1:19" ht="15" customHeight="1" x14ac:dyDescent="0.25">
      <c r="A424" s="62"/>
      <c r="B424" s="13" t="s">
        <v>168</v>
      </c>
      <c r="C424" s="63"/>
      <c r="D424" s="2">
        <v>1</v>
      </c>
      <c r="E424" s="2">
        <v>0</v>
      </c>
      <c r="F424" s="33">
        <f t="shared" si="128"/>
        <v>0</v>
      </c>
      <c r="G424" s="2">
        <v>1126759</v>
      </c>
      <c r="H424" s="33">
        <f t="shared" si="129"/>
        <v>13.330370132353812</v>
      </c>
      <c r="I424" s="2">
        <v>420864</v>
      </c>
      <c r="J424" s="33">
        <f t="shared" si="130"/>
        <v>12.099849982376234</v>
      </c>
      <c r="K424" s="2">
        <v>800</v>
      </c>
      <c r="L424" s="33">
        <f t="shared" si="131"/>
        <v>1.5945784333266892</v>
      </c>
      <c r="M424" s="33">
        <v>169198.52000000002</v>
      </c>
      <c r="N424" s="33">
        <f t="shared" si="132"/>
        <v>14.221410470310866</v>
      </c>
      <c r="P424" s="24"/>
      <c r="Q424" s="24"/>
      <c r="R424" s="24"/>
      <c r="S424" s="24"/>
    </row>
    <row r="425" spans="1:19" ht="15" customHeight="1" x14ac:dyDescent="0.25">
      <c r="A425" s="62"/>
      <c r="B425" s="13" t="s">
        <v>391</v>
      </c>
      <c r="C425" s="63"/>
      <c r="D425" s="2">
        <v>1</v>
      </c>
      <c r="E425" s="2">
        <v>1078</v>
      </c>
      <c r="F425" s="33">
        <f t="shared" si="128"/>
        <v>4.5739986422267478</v>
      </c>
      <c r="G425" s="2">
        <v>1029928</v>
      </c>
      <c r="H425" s="33">
        <f t="shared" si="129"/>
        <v>12.18478969298217</v>
      </c>
      <c r="I425" s="2">
        <v>380609</v>
      </c>
      <c r="J425" s="33">
        <f t="shared" si="130"/>
        <v>10.942517777577166</v>
      </c>
      <c r="K425" s="2">
        <v>7600</v>
      </c>
      <c r="L425" s="33">
        <f t="shared" si="131"/>
        <v>15.148495116603549</v>
      </c>
      <c r="M425" s="33">
        <v>153015.29</v>
      </c>
      <c r="N425" s="33">
        <f t="shared" si="132"/>
        <v>12.861183699027944</v>
      </c>
      <c r="P425" s="24"/>
      <c r="Q425" s="24"/>
      <c r="R425" s="24"/>
      <c r="S425" s="24"/>
    </row>
    <row r="426" spans="1:19" ht="15" customHeight="1" x14ac:dyDescent="0.25">
      <c r="A426" s="8"/>
      <c r="B426" s="14"/>
      <c r="C426" s="9"/>
      <c r="D426" s="3">
        <f>SUM(D417:D425)</f>
        <v>11</v>
      </c>
      <c r="E426" s="21">
        <f>SUM(E417:E425)</f>
        <v>23568</v>
      </c>
      <c r="F426" s="17">
        <v>1</v>
      </c>
      <c r="G426" s="21">
        <f>SUM(G417:G425)</f>
        <v>8452571.0399999991</v>
      </c>
      <c r="H426" s="17">
        <v>1</v>
      </c>
      <c r="I426" s="21">
        <f>SUM(I417:I425)</f>
        <v>3478258</v>
      </c>
      <c r="J426" s="17">
        <v>1</v>
      </c>
      <c r="K426" s="21">
        <f>SUM(K402:K425)</f>
        <v>50170</v>
      </c>
      <c r="L426" s="17">
        <v>1</v>
      </c>
      <c r="M426" s="21">
        <f>SUM(M417:M425)</f>
        <v>1189744.81</v>
      </c>
      <c r="N426" s="17">
        <v>1</v>
      </c>
      <c r="P426" s="28"/>
      <c r="Q426" s="24"/>
      <c r="R426" s="24"/>
      <c r="S426" s="24"/>
    </row>
    <row r="427" spans="1:19" ht="15" customHeight="1" x14ac:dyDescent="0.25">
      <c r="A427" s="62" t="s">
        <v>405</v>
      </c>
      <c r="B427" s="13" t="s">
        <v>392</v>
      </c>
      <c r="C427" s="63" t="s">
        <v>88</v>
      </c>
      <c r="D427" s="2">
        <v>1</v>
      </c>
      <c r="E427" s="2">
        <v>3700</v>
      </c>
      <c r="F427" s="33">
        <f>E427/550.09</f>
        <v>6.7261720809322103</v>
      </c>
      <c r="G427" s="33">
        <v>1353097.26</v>
      </c>
      <c r="H427" s="33">
        <f>G427/181185.48</f>
        <v>7.4680226031357479</v>
      </c>
      <c r="I427" s="33">
        <v>659113.53</v>
      </c>
      <c r="J427" s="33">
        <f>I427/83790.04</f>
        <v>7.8662515258376784</v>
      </c>
      <c r="K427" s="2">
        <v>9650</v>
      </c>
      <c r="L427" s="33">
        <f>K427/892.41</f>
        <v>10.813415358411493</v>
      </c>
      <c r="M427" s="33">
        <v>416511.7</v>
      </c>
      <c r="N427" s="33">
        <f>M427/25777.41</f>
        <v>16.158011995774597</v>
      </c>
      <c r="P427" s="24"/>
      <c r="Q427" s="24"/>
      <c r="R427" s="24"/>
      <c r="S427" s="24"/>
    </row>
    <row r="428" spans="1:19" ht="15" customHeight="1" x14ac:dyDescent="0.25">
      <c r="A428" s="62"/>
      <c r="B428" s="13" t="s">
        <v>393</v>
      </c>
      <c r="C428" s="63"/>
      <c r="D428" s="2">
        <v>2</v>
      </c>
      <c r="E428" s="2">
        <v>9668</v>
      </c>
      <c r="F428" s="33">
        <f t="shared" ref="F428:F439" si="133">E428/550.09</f>
        <v>17.575305859041247</v>
      </c>
      <c r="G428" s="33">
        <v>1664599.04</v>
      </c>
      <c r="H428" s="33">
        <f t="shared" ref="H428:H439" si="134">G428/181185.48</f>
        <v>9.1872651163879127</v>
      </c>
      <c r="I428" s="33">
        <v>509080</v>
      </c>
      <c r="J428" s="33">
        <f t="shared" ref="J428:J439" si="135">I428/83790.04</f>
        <v>6.0756624534371868</v>
      </c>
      <c r="K428" s="2">
        <v>0</v>
      </c>
      <c r="L428" s="33">
        <f t="shared" ref="L428:L439" si="136">K428/892.41</f>
        <v>0</v>
      </c>
      <c r="M428" s="33">
        <v>205242</v>
      </c>
      <c r="N428" s="33">
        <f t="shared" ref="N428:N439" si="137">M428/25777.41</f>
        <v>7.9620877349586321</v>
      </c>
      <c r="P428" s="24"/>
      <c r="Q428" s="24"/>
      <c r="R428" s="24"/>
      <c r="S428" s="24"/>
    </row>
    <row r="429" spans="1:19" ht="15" customHeight="1" x14ac:dyDescent="0.25">
      <c r="A429" s="62"/>
      <c r="B429" s="13" t="s">
        <v>394</v>
      </c>
      <c r="C429" s="63"/>
      <c r="D429" s="2">
        <v>1</v>
      </c>
      <c r="E429" s="2">
        <v>0</v>
      </c>
      <c r="F429" s="33">
        <f t="shared" si="133"/>
        <v>0</v>
      </c>
      <c r="G429" s="33">
        <v>1317885.3</v>
      </c>
      <c r="H429" s="33">
        <f t="shared" si="134"/>
        <v>7.2736805399637978</v>
      </c>
      <c r="I429" s="33">
        <v>650290.96</v>
      </c>
      <c r="J429" s="33">
        <f t="shared" si="135"/>
        <v>7.7609577462906092</v>
      </c>
      <c r="K429" s="2">
        <v>0</v>
      </c>
      <c r="L429" s="33">
        <f t="shared" si="136"/>
        <v>0</v>
      </c>
      <c r="M429" s="33">
        <v>0</v>
      </c>
      <c r="N429" s="33">
        <f t="shared" si="137"/>
        <v>0</v>
      </c>
      <c r="P429" s="24"/>
      <c r="Q429" s="24"/>
      <c r="R429" s="24"/>
      <c r="S429" s="24"/>
    </row>
    <row r="430" spans="1:19" ht="15" customHeight="1" x14ac:dyDescent="0.25">
      <c r="A430" s="62"/>
      <c r="B430" s="13" t="s">
        <v>395</v>
      </c>
      <c r="C430" s="63"/>
      <c r="D430" s="2">
        <v>1</v>
      </c>
      <c r="E430" s="2">
        <v>10200</v>
      </c>
      <c r="F430" s="33">
        <f t="shared" si="133"/>
        <v>18.542420331218526</v>
      </c>
      <c r="G430" s="33">
        <v>1103632.04</v>
      </c>
      <c r="H430" s="33">
        <f t="shared" si="134"/>
        <v>6.0911726480510469</v>
      </c>
      <c r="I430" s="33">
        <v>578998.4</v>
      </c>
      <c r="J430" s="33">
        <f t="shared" si="135"/>
        <v>6.9101100799092601</v>
      </c>
      <c r="K430" s="2">
        <v>9144</v>
      </c>
      <c r="L430" s="33">
        <f t="shared" si="136"/>
        <v>10.246411402830537</v>
      </c>
      <c r="M430" s="33">
        <v>230066.96000000002</v>
      </c>
      <c r="N430" s="33">
        <f t="shared" si="137"/>
        <v>8.9251387164187559</v>
      </c>
      <c r="P430" s="24"/>
      <c r="Q430" s="24"/>
      <c r="R430" s="24"/>
      <c r="S430" s="24"/>
    </row>
    <row r="431" spans="1:19" ht="15" customHeight="1" x14ac:dyDescent="0.25">
      <c r="A431" s="62"/>
      <c r="B431" s="13" t="s">
        <v>396</v>
      </c>
      <c r="C431" s="63"/>
      <c r="D431" s="2">
        <v>1</v>
      </c>
      <c r="E431" s="2">
        <v>0</v>
      </c>
      <c r="F431" s="33">
        <f t="shared" si="133"/>
        <v>0</v>
      </c>
      <c r="G431" s="33">
        <v>1468500</v>
      </c>
      <c r="H431" s="33">
        <f t="shared" si="134"/>
        <v>8.1049541055938921</v>
      </c>
      <c r="I431" s="33">
        <v>623898.9</v>
      </c>
      <c r="J431" s="33">
        <f t="shared" si="135"/>
        <v>7.4459792595874168</v>
      </c>
      <c r="K431" s="2">
        <v>0</v>
      </c>
      <c r="L431" s="33">
        <f t="shared" si="136"/>
        <v>0</v>
      </c>
      <c r="M431" s="33">
        <v>0</v>
      </c>
      <c r="N431" s="33">
        <f t="shared" si="137"/>
        <v>0</v>
      </c>
      <c r="P431" s="24"/>
      <c r="Q431" s="24"/>
      <c r="R431" s="24"/>
      <c r="S431" s="24"/>
    </row>
    <row r="432" spans="1:19" ht="15" customHeight="1" x14ac:dyDescent="0.25">
      <c r="A432" s="62"/>
      <c r="B432" s="13" t="s">
        <v>397</v>
      </c>
      <c r="C432" s="63"/>
      <c r="D432" s="2">
        <v>1</v>
      </c>
      <c r="E432" s="2">
        <v>0</v>
      </c>
      <c r="F432" s="33">
        <f t="shared" si="133"/>
        <v>0</v>
      </c>
      <c r="G432" s="33">
        <v>1539922.5</v>
      </c>
      <c r="H432" s="33">
        <f t="shared" si="134"/>
        <v>8.499149600729595</v>
      </c>
      <c r="I432" s="33">
        <v>614144.5</v>
      </c>
      <c r="J432" s="33">
        <f t="shared" si="135"/>
        <v>7.329564468521558</v>
      </c>
      <c r="K432" s="2">
        <v>9800</v>
      </c>
      <c r="L432" s="33">
        <f t="shared" si="136"/>
        <v>10.981499534967112</v>
      </c>
      <c r="M432" s="33">
        <v>362110.72000000003</v>
      </c>
      <c r="N432" s="33">
        <f t="shared" si="137"/>
        <v>14.047599041175976</v>
      </c>
      <c r="P432" s="24"/>
      <c r="Q432" s="24"/>
      <c r="R432" s="24"/>
      <c r="S432" s="24"/>
    </row>
    <row r="433" spans="1:19" ht="15" customHeight="1" x14ac:dyDescent="0.25">
      <c r="A433" s="62"/>
      <c r="B433" s="13" t="s">
        <v>398</v>
      </c>
      <c r="C433" s="63"/>
      <c r="D433" s="2">
        <v>1</v>
      </c>
      <c r="E433" s="2">
        <v>0</v>
      </c>
      <c r="F433" s="33">
        <f t="shared" si="133"/>
        <v>0</v>
      </c>
      <c r="G433" s="33">
        <v>1206882.72</v>
      </c>
      <c r="H433" s="33">
        <f t="shared" si="134"/>
        <v>6.6610344272620514</v>
      </c>
      <c r="I433" s="33">
        <v>535335</v>
      </c>
      <c r="J433" s="33">
        <f t="shared" si="135"/>
        <v>6.3890051848644545</v>
      </c>
      <c r="K433" s="2">
        <v>10333</v>
      </c>
      <c r="L433" s="33">
        <f t="shared" si="136"/>
        <v>11.578758642328077</v>
      </c>
      <c r="M433" s="33">
        <v>176128.92</v>
      </c>
      <c r="N433" s="33">
        <f t="shared" si="137"/>
        <v>6.8326848973578036</v>
      </c>
      <c r="P433" s="24"/>
      <c r="Q433" s="24"/>
      <c r="R433" s="24"/>
      <c r="S433" s="24"/>
    </row>
    <row r="434" spans="1:19" ht="15" customHeight="1" x14ac:dyDescent="0.25">
      <c r="A434" s="62"/>
      <c r="B434" s="13" t="s">
        <v>399</v>
      </c>
      <c r="C434" s="63"/>
      <c r="D434" s="2">
        <v>2</v>
      </c>
      <c r="E434" s="2">
        <v>5600</v>
      </c>
      <c r="F434" s="33">
        <f t="shared" si="133"/>
        <v>10.180152338708211</v>
      </c>
      <c r="G434" s="33">
        <v>888723.74</v>
      </c>
      <c r="H434" s="33">
        <f t="shared" si="134"/>
        <v>4.9050494553978607</v>
      </c>
      <c r="I434" s="33">
        <v>574762</v>
      </c>
      <c r="J434" s="33">
        <f t="shared" si="135"/>
        <v>6.8595503713806565</v>
      </c>
      <c r="K434" s="2">
        <v>0</v>
      </c>
      <c r="L434" s="33">
        <f t="shared" si="136"/>
        <v>0</v>
      </c>
      <c r="M434" s="33">
        <v>0</v>
      </c>
      <c r="N434" s="33">
        <f t="shared" si="137"/>
        <v>0</v>
      </c>
      <c r="P434" s="24"/>
      <c r="Q434" s="24"/>
      <c r="R434" s="24"/>
      <c r="S434" s="24"/>
    </row>
    <row r="435" spans="1:19" ht="15" customHeight="1" x14ac:dyDescent="0.25">
      <c r="A435" s="62"/>
      <c r="B435" s="13" t="s">
        <v>400</v>
      </c>
      <c r="C435" s="63"/>
      <c r="D435" s="2">
        <v>1</v>
      </c>
      <c r="E435" s="2">
        <v>0</v>
      </c>
      <c r="F435" s="33">
        <f t="shared" si="133"/>
        <v>0</v>
      </c>
      <c r="G435" s="33">
        <v>1016382.67</v>
      </c>
      <c r="H435" s="33">
        <f t="shared" si="134"/>
        <v>5.6096253960306308</v>
      </c>
      <c r="I435" s="33">
        <v>552200.5</v>
      </c>
      <c r="J435" s="33">
        <f t="shared" si="135"/>
        <v>6.5902880581033267</v>
      </c>
      <c r="K435" s="2">
        <v>2650</v>
      </c>
      <c r="L435" s="33">
        <f t="shared" si="136"/>
        <v>2.96948711914927</v>
      </c>
      <c r="M435" s="33">
        <v>182117.12</v>
      </c>
      <c r="N435" s="33">
        <f t="shared" si="137"/>
        <v>7.0649890737665269</v>
      </c>
      <c r="P435" s="24"/>
      <c r="Q435" s="24"/>
      <c r="R435" s="24"/>
      <c r="S435" s="24"/>
    </row>
    <row r="436" spans="1:19" ht="15" customHeight="1" x14ac:dyDescent="0.25">
      <c r="A436" s="62"/>
      <c r="B436" s="13" t="s">
        <v>401</v>
      </c>
      <c r="C436" s="63"/>
      <c r="D436" s="2">
        <v>1</v>
      </c>
      <c r="E436" s="2">
        <v>0</v>
      </c>
      <c r="F436" s="33">
        <f t="shared" si="133"/>
        <v>0</v>
      </c>
      <c r="G436" s="33">
        <v>608760</v>
      </c>
      <c r="H436" s="33">
        <f t="shared" si="134"/>
        <v>3.3598718837734678</v>
      </c>
      <c r="I436" s="33">
        <v>0</v>
      </c>
      <c r="J436" s="33">
        <f t="shared" si="135"/>
        <v>0</v>
      </c>
      <c r="K436" s="2">
        <v>0</v>
      </c>
      <c r="L436" s="33">
        <f t="shared" si="136"/>
        <v>0</v>
      </c>
      <c r="M436" s="33">
        <v>0</v>
      </c>
      <c r="N436" s="33">
        <f t="shared" si="137"/>
        <v>0</v>
      </c>
      <c r="P436" s="24"/>
      <c r="Q436" s="24"/>
      <c r="R436" s="24"/>
      <c r="S436" s="24"/>
    </row>
    <row r="437" spans="1:19" ht="15" customHeight="1" x14ac:dyDescent="0.25">
      <c r="A437" s="62"/>
      <c r="B437" s="13" t="s">
        <v>402</v>
      </c>
      <c r="C437" s="63"/>
      <c r="D437" s="2">
        <v>1</v>
      </c>
      <c r="E437" s="2">
        <v>1279</v>
      </c>
      <c r="F437" s="33">
        <f t="shared" si="133"/>
        <v>2.3250740787871074</v>
      </c>
      <c r="G437" s="33">
        <v>1335701.32</v>
      </c>
      <c r="H437" s="33">
        <f t="shared" si="134"/>
        <v>7.3720108255915431</v>
      </c>
      <c r="I437" s="33">
        <v>671060</v>
      </c>
      <c r="J437" s="33">
        <f t="shared" si="135"/>
        <v>8.0088277795308382</v>
      </c>
      <c r="K437" s="2">
        <v>5000</v>
      </c>
      <c r="L437" s="33">
        <f t="shared" si="136"/>
        <v>5.6028058851873022</v>
      </c>
      <c r="M437" s="33">
        <v>256592</v>
      </c>
      <c r="N437" s="33">
        <f t="shared" si="137"/>
        <v>9.9541420181468965</v>
      </c>
      <c r="P437" s="24"/>
      <c r="Q437" s="24"/>
      <c r="R437" s="24"/>
      <c r="S437" s="24"/>
    </row>
    <row r="438" spans="1:19" ht="15" customHeight="1" x14ac:dyDescent="0.25">
      <c r="A438" s="62"/>
      <c r="B438" s="13" t="s">
        <v>403</v>
      </c>
      <c r="C438" s="63"/>
      <c r="D438" s="2">
        <v>4</v>
      </c>
      <c r="E438" s="2">
        <v>24562</v>
      </c>
      <c r="F438" s="33">
        <f t="shared" si="133"/>
        <v>44.650875311312689</v>
      </c>
      <c r="G438" s="33">
        <v>3278760</v>
      </c>
      <c r="H438" s="33">
        <f t="shared" si="134"/>
        <v>18.096152075762362</v>
      </c>
      <c r="I438" s="33">
        <v>1739060</v>
      </c>
      <c r="J438" s="33">
        <f t="shared" si="135"/>
        <v>20.754972786741721</v>
      </c>
      <c r="K438" s="2">
        <v>32331</v>
      </c>
      <c r="L438" s="33">
        <f t="shared" si="136"/>
        <v>36.228863414798134</v>
      </c>
      <c r="M438" s="33">
        <v>492379.82400000002</v>
      </c>
      <c r="N438" s="33">
        <f t="shared" si="137"/>
        <v>19.101213969906208</v>
      </c>
      <c r="P438" s="24"/>
      <c r="Q438" s="24"/>
      <c r="R438" s="24"/>
      <c r="S438" s="24"/>
    </row>
    <row r="439" spans="1:19" ht="15" customHeight="1" x14ac:dyDescent="0.25">
      <c r="A439" s="62"/>
      <c r="B439" s="13" t="s">
        <v>404</v>
      </c>
      <c r="C439" s="63"/>
      <c r="D439" s="2">
        <v>1</v>
      </c>
      <c r="E439" s="2">
        <v>0</v>
      </c>
      <c r="F439" s="33">
        <f t="shared" si="133"/>
        <v>0</v>
      </c>
      <c r="G439" s="33">
        <v>1335701.32</v>
      </c>
      <c r="H439" s="33">
        <f t="shared" si="134"/>
        <v>7.3720108255915431</v>
      </c>
      <c r="I439" s="33">
        <v>671060</v>
      </c>
      <c r="J439" s="33">
        <f t="shared" si="135"/>
        <v>8.0088277795308382</v>
      </c>
      <c r="K439" s="2">
        <v>10333</v>
      </c>
      <c r="L439" s="33">
        <f t="shared" si="136"/>
        <v>11.578758642328077</v>
      </c>
      <c r="M439" s="33">
        <v>256592</v>
      </c>
      <c r="N439" s="33">
        <f t="shared" si="137"/>
        <v>9.9541420181468965</v>
      </c>
      <c r="P439" s="24"/>
      <c r="Q439" s="24"/>
      <c r="R439" s="24"/>
      <c r="S439" s="24"/>
    </row>
    <row r="440" spans="1:19" ht="15" customHeight="1" x14ac:dyDescent="0.25">
      <c r="A440" s="8"/>
      <c r="B440" s="14"/>
      <c r="C440" s="9"/>
      <c r="D440" s="3">
        <f>SUM(D427:D439)</f>
        <v>18</v>
      </c>
      <c r="E440" s="21">
        <f>SUM(E427:E439)</f>
        <v>55009</v>
      </c>
      <c r="F440" s="17">
        <v>1</v>
      </c>
      <c r="G440" s="21">
        <f>SUM(G427:G439)</f>
        <v>18118547.910000004</v>
      </c>
      <c r="H440" s="17">
        <v>1</v>
      </c>
      <c r="I440" s="21">
        <f>SUM(I427:I439)</f>
        <v>8379003.79</v>
      </c>
      <c r="J440" s="17">
        <v>1</v>
      </c>
      <c r="K440" s="21">
        <f>SUM(K427:K439)</f>
        <v>89241</v>
      </c>
      <c r="L440" s="17">
        <v>1</v>
      </c>
      <c r="M440" s="21">
        <f>SUM(M427:M439)</f>
        <v>2577741.2439999999</v>
      </c>
      <c r="N440" s="17">
        <v>1</v>
      </c>
      <c r="P440" s="28"/>
      <c r="Q440" s="24"/>
      <c r="R440" s="24"/>
      <c r="S440" s="24"/>
    </row>
    <row r="441" spans="1:19" ht="15" customHeight="1" x14ac:dyDescent="0.25">
      <c r="A441" s="62" t="s">
        <v>406</v>
      </c>
      <c r="B441" s="13" t="s">
        <v>407</v>
      </c>
      <c r="C441" s="63" t="s">
        <v>88</v>
      </c>
      <c r="D441" s="2">
        <v>2</v>
      </c>
      <c r="E441" s="25">
        <v>10200</v>
      </c>
      <c r="F441" s="33">
        <f>E441/371.62</f>
        <v>27.447392497712716</v>
      </c>
      <c r="G441" s="2">
        <v>1151122</v>
      </c>
      <c r="H441" s="33">
        <f>G441/118879.18</f>
        <v>9.6831253378430109</v>
      </c>
      <c r="I441" s="33">
        <v>671743</v>
      </c>
      <c r="J441" s="33">
        <f>I441/70988.8</f>
        <v>9.4626617156509187</v>
      </c>
      <c r="K441" s="2">
        <v>0</v>
      </c>
      <c r="L441" s="33">
        <f>K441/532.58</f>
        <v>0</v>
      </c>
      <c r="M441" s="33">
        <v>0</v>
      </c>
      <c r="N441" s="33">
        <f>M441/22689.41</f>
        <v>0</v>
      </c>
      <c r="P441" s="24"/>
      <c r="Q441" s="24"/>
      <c r="R441" s="24"/>
      <c r="S441" s="24"/>
    </row>
    <row r="442" spans="1:19" ht="15" customHeight="1" x14ac:dyDescent="0.25">
      <c r="A442" s="62"/>
      <c r="B442" s="13" t="s">
        <v>415</v>
      </c>
      <c r="C442" s="63"/>
      <c r="D442" s="2">
        <v>1</v>
      </c>
      <c r="E442" s="2">
        <v>0</v>
      </c>
      <c r="F442" s="33">
        <f t="shared" ref="F442:F451" si="138">E442/371.62</f>
        <v>0</v>
      </c>
      <c r="G442" s="2">
        <v>964721</v>
      </c>
      <c r="H442" s="33">
        <f t="shared" ref="H442:H451" si="139">G442/118879.18</f>
        <v>8.1151384119574175</v>
      </c>
      <c r="I442" s="33">
        <v>600451.4</v>
      </c>
      <c r="J442" s="33">
        <f t="shared" ref="J442:J451" si="140">I442/70988.8</f>
        <v>8.4583962540569786</v>
      </c>
      <c r="K442" s="2">
        <v>6144</v>
      </c>
      <c r="L442" s="33">
        <f t="shared" ref="L442:L451" si="141">K442/532.58</f>
        <v>11.536295016711103</v>
      </c>
      <c r="M442" s="33">
        <v>266876.56</v>
      </c>
      <c r="N442" s="33">
        <f t="shared" ref="N442:N451" si="142">M442/22689.41</f>
        <v>11.762163934628534</v>
      </c>
      <c r="P442" s="24"/>
      <c r="Q442" s="24"/>
      <c r="R442" s="24"/>
      <c r="S442" s="24"/>
    </row>
    <row r="443" spans="1:19" ht="15" customHeight="1" x14ac:dyDescent="0.25">
      <c r="A443" s="62"/>
      <c r="B443" s="13" t="s">
        <v>408</v>
      </c>
      <c r="C443" s="63"/>
      <c r="D443" s="2">
        <v>1</v>
      </c>
      <c r="E443" s="2">
        <v>0</v>
      </c>
      <c r="F443" s="33">
        <f t="shared" si="138"/>
        <v>0</v>
      </c>
      <c r="G443" s="2">
        <v>1282157</v>
      </c>
      <c r="H443" s="33">
        <f t="shared" si="139"/>
        <v>10.78537890318557</v>
      </c>
      <c r="I443" s="33">
        <v>645351.9</v>
      </c>
      <c r="J443" s="33">
        <f t="shared" si="140"/>
        <v>9.0908974373422282</v>
      </c>
      <c r="K443" s="2">
        <v>0</v>
      </c>
      <c r="L443" s="33">
        <f t="shared" si="141"/>
        <v>0</v>
      </c>
      <c r="M443" s="33">
        <v>0</v>
      </c>
      <c r="N443" s="33">
        <f t="shared" si="142"/>
        <v>0</v>
      </c>
      <c r="P443" s="24"/>
      <c r="Q443" s="24"/>
      <c r="R443" s="24"/>
      <c r="S443" s="24"/>
    </row>
    <row r="444" spans="1:19" ht="15" customHeight="1" x14ac:dyDescent="0.25">
      <c r="A444" s="62"/>
      <c r="B444" s="13" t="s">
        <v>416</v>
      </c>
      <c r="C444" s="63"/>
      <c r="D444" s="2">
        <v>1</v>
      </c>
      <c r="E444" s="2">
        <v>0</v>
      </c>
      <c r="F444" s="33">
        <f t="shared" si="138"/>
        <v>0</v>
      </c>
      <c r="G444" s="2">
        <v>1344294</v>
      </c>
      <c r="H444" s="33">
        <f t="shared" si="139"/>
        <v>11.308069251487099</v>
      </c>
      <c r="I444" s="33">
        <v>635597.5</v>
      </c>
      <c r="J444" s="33">
        <f t="shared" si="140"/>
        <v>8.9534898462856116</v>
      </c>
      <c r="K444" s="2">
        <v>9800</v>
      </c>
      <c r="L444" s="33">
        <f t="shared" si="141"/>
        <v>18.400991400352996</v>
      </c>
      <c r="M444" s="33">
        <v>420047.6</v>
      </c>
      <c r="N444" s="33">
        <f t="shared" si="142"/>
        <v>18.512936211210427</v>
      </c>
      <c r="P444" s="24"/>
      <c r="Q444" s="24"/>
      <c r="R444" s="24"/>
      <c r="S444" s="24"/>
    </row>
    <row r="445" spans="1:19" ht="15" customHeight="1" x14ac:dyDescent="0.25">
      <c r="A445" s="62"/>
      <c r="B445" s="13" t="s">
        <v>409</v>
      </c>
      <c r="C445" s="63"/>
      <c r="D445" s="2">
        <v>2</v>
      </c>
      <c r="E445" s="25">
        <v>7300</v>
      </c>
      <c r="F445" s="33">
        <f t="shared" si="138"/>
        <v>19.643722081696357</v>
      </c>
      <c r="G445" s="2">
        <v>1054549</v>
      </c>
      <c r="H445" s="33">
        <f t="shared" si="139"/>
        <v>8.8707627357456538</v>
      </c>
      <c r="I445" s="33">
        <v>556788</v>
      </c>
      <c r="J445" s="33">
        <f t="shared" si="140"/>
        <v>7.8433217634331047</v>
      </c>
      <c r="K445" s="2">
        <v>8333</v>
      </c>
      <c r="L445" s="33">
        <f t="shared" si="141"/>
        <v>15.646475646851176</v>
      </c>
      <c r="M445" s="33">
        <v>204308.47999999998</v>
      </c>
      <c r="N445" s="33">
        <f t="shared" si="142"/>
        <v>9.0045743807353293</v>
      </c>
      <c r="P445" s="24"/>
      <c r="Q445" s="24"/>
      <c r="R445" s="24"/>
      <c r="S445" s="24"/>
    </row>
    <row r="446" spans="1:19" ht="15" customHeight="1" x14ac:dyDescent="0.25">
      <c r="A446" s="62"/>
      <c r="B446" s="13" t="s">
        <v>414</v>
      </c>
      <c r="C446" s="63"/>
      <c r="D446" s="2">
        <v>1</v>
      </c>
      <c r="E446" s="2">
        <v>5100</v>
      </c>
      <c r="F446" s="33">
        <f t="shared" si="138"/>
        <v>13.723696248856358</v>
      </c>
      <c r="G446" s="2">
        <v>777751</v>
      </c>
      <c r="H446" s="33">
        <f t="shared" si="139"/>
        <v>6.5423651138912637</v>
      </c>
      <c r="I446" s="33">
        <v>596215</v>
      </c>
      <c r="J446" s="33">
        <f t="shared" si="140"/>
        <v>8.3987192345834831</v>
      </c>
      <c r="K446" s="2">
        <v>0</v>
      </c>
      <c r="L446" s="33">
        <f t="shared" si="141"/>
        <v>0</v>
      </c>
      <c r="M446" s="33">
        <v>0</v>
      </c>
      <c r="N446" s="33">
        <f t="shared" si="142"/>
        <v>0</v>
      </c>
      <c r="P446" s="24"/>
      <c r="Q446" s="24"/>
      <c r="R446" s="24"/>
      <c r="S446" s="24"/>
    </row>
    <row r="447" spans="1:19" ht="15" customHeight="1" x14ac:dyDescent="0.25">
      <c r="A447" s="62"/>
      <c r="B447" s="13" t="s">
        <v>410</v>
      </c>
      <c r="C447" s="63"/>
      <c r="D447" s="2">
        <v>1</v>
      </c>
      <c r="E447" s="2">
        <v>0</v>
      </c>
      <c r="F447" s="33">
        <f t="shared" si="138"/>
        <v>0</v>
      </c>
      <c r="G447" s="2">
        <v>888814</v>
      </c>
      <c r="H447" s="33">
        <f t="shared" si="139"/>
        <v>7.4766161745059145</v>
      </c>
      <c r="I447" s="33">
        <v>573653.5</v>
      </c>
      <c r="J447" s="33">
        <f t="shared" si="140"/>
        <v>8.08090149432023</v>
      </c>
      <c r="K447" s="2">
        <v>2650</v>
      </c>
      <c r="L447" s="33">
        <f t="shared" si="141"/>
        <v>4.9757782868301472</v>
      </c>
      <c r="M447" s="33">
        <v>211255.71999999997</v>
      </c>
      <c r="N447" s="33">
        <f t="shared" si="142"/>
        <v>9.3107630387921052</v>
      </c>
      <c r="P447" s="24"/>
      <c r="Q447" s="24"/>
      <c r="R447" s="24"/>
      <c r="S447" s="24"/>
    </row>
    <row r="448" spans="1:19" ht="15" customHeight="1" x14ac:dyDescent="0.25">
      <c r="A448" s="62"/>
      <c r="B448" s="13" t="s">
        <v>417</v>
      </c>
      <c r="C448" s="63"/>
      <c r="D448" s="2">
        <v>1</v>
      </c>
      <c r="E448" s="2">
        <v>0</v>
      </c>
      <c r="F448" s="33">
        <f t="shared" si="138"/>
        <v>0</v>
      </c>
      <c r="G448" s="2">
        <v>534183.19999999995</v>
      </c>
      <c r="H448" s="33">
        <f t="shared" si="139"/>
        <v>4.493496674522822</v>
      </c>
      <c r="I448" s="33">
        <v>34500</v>
      </c>
      <c r="J448" s="33">
        <f t="shared" si="140"/>
        <v>0.48599215650919581</v>
      </c>
      <c r="K448" s="2">
        <v>0</v>
      </c>
      <c r="L448" s="33">
        <f t="shared" si="141"/>
        <v>0</v>
      </c>
      <c r="M448" s="33">
        <v>0</v>
      </c>
      <c r="N448" s="33">
        <f t="shared" si="142"/>
        <v>0</v>
      </c>
      <c r="P448" s="24"/>
      <c r="Q448" s="24"/>
      <c r="R448" s="24"/>
      <c r="S448" s="24"/>
    </row>
    <row r="449" spans="1:19" ht="15" customHeight="1" x14ac:dyDescent="0.25">
      <c r="A449" s="62"/>
      <c r="B449" s="13" t="s">
        <v>411</v>
      </c>
      <c r="C449" s="63"/>
      <c r="D449" s="2">
        <v>1</v>
      </c>
      <c r="E449" s="2">
        <v>0</v>
      </c>
      <c r="F449" s="33">
        <f t="shared" si="138"/>
        <v>0</v>
      </c>
      <c r="G449" s="2">
        <v>1166622</v>
      </c>
      <c r="H449" s="33">
        <f t="shared" si="139"/>
        <v>9.8135098172783497</v>
      </c>
      <c r="I449" s="33">
        <v>705560</v>
      </c>
      <c r="J449" s="33">
        <f t="shared" si="140"/>
        <v>9.9390326361341508</v>
      </c>
      <c r="K449" s="2">
        <v>7000</v>
      </c>
      <c r="L449" s="33">
        <f t="shared" si="141"/>
        <v>13.143565285966426</v>
      </c>
      <c r="M449" s="33">
        <v>297646.71999999997</v>
      </c>
      <c r="N449" s="33">
        <f t="shared" si="142"/>
        <v>13.118310260161017</v>
      </c>
      <c r="P449" s="24"/>
      <c r="Q449" s="24"/>
      <c r="R449" s="24"/>
      <c r="S449" s="24"/>
    </row>
    <row r="450" spans="1:19" x14ac:dyDescent="0.25">
      <c r="A450" s="62"/>
      <c r="B450" s="13" t="s">
        <v>412</v>
      </c>
      <c r="C450" s="63"/>
      <c r="D450" s="2">
        <v>1</v>
      </c>
      <c r="E450" s="2">
        <v>0</v>
      </c>
      <c r="F450" s="33">
        <f t="shared" si="138"/>
        <v>0</v>
      </c>
      <c r="G450" s="2">
        <v>1557083.2</v>
      </c>
      <c r="H450" s="33">
        <f t="shared" si="139"/>
        <v>13.098031127065312</v>
      </c>
      <c r="I450" s="33">
        <v>1173560</v>
      </c>
      <c r="J450" s="33">
        <f t="shared" si="140"/>
        <v>16.531621889650197</v>
      </c>
      <c r="K450" s="2">
        <v>19331</v>
      </c>
      <c r="L450" s="33">
        <f t="shared" si="141"/>
        <v>36.296894363288139</v>
      </c>
      <c r="M450" s="33">
        <v>571159.64</v>
      </c>
      <c r="N450" s="33">
        <f t="shared" si="142"/>
        <v>25.172961306618376</v>
      </c>
      <c r="P450" s="24"/>
      <c r="Q450" s="24"/>
      <c r="R450" s="24"/>
      <c r="S450" s="24"/>
    </row>
    <row r="451" spans="1:19" x14ac:dyDescent="0.25">
      <c r="A451" s="62"/>
      <c r="B451" s="13" t="s">
        <v>413</v>
      </c>
      <c r="C451" s="63"/>
      <c r="D451" s="2">
        <v>2</v>
      </c>
      <c r="E451" s="25">
        <v>14562</v>
      </c>
      <c r="F451" s="33">
        <f t="shared" si="138"/>
        <v>39.185189171734564</v>
      </c>
      <c r="G451" s="2">
        <v>1166622</v>
      </c>
      <c r="H451" s="33">
        <f t="shared" si="139"/>
        <v>9.8135098172783497</v>
      </c>
      <c r="I451" s="33">
        <v>905560</v>
      </c>
      <c r="J451" s="33">
        <f t="shared" si="140"/>
        <v>12.756378470970068</v>
      </c>
      <c r="K451" s="2">
        <v>0</v>
      </c>
      <c r="L451" s="33">
        <f t="shared" si="141"/>
        <v>0</v>
      </c>
      <c r="M451" s="33">
        <v>297646.71999999997</v>
      </c>
      <c r="N451" s="33">
        <f t="shared" si="142"/>
        <v>13.118310260161017</v>
      </c>
      <c r="P451" s="24"/>
      <c r="Q451" s="24"/>
      <c r="R451" s="24"/>
      <c r="S451" s="24"/>
    </row>
    <row r="452" spans="1:19" ht="15.75" x14ac:dyDescent="0.25">
      <c r="A452" s="3"/>
      <c r="B452" s="14"/>
      <c r="C452" s="3"/>
      <c r="D452" s="3">
        <f>SUM(D441:D451)</f>
        <v>14</v>
      </c>
      <c r="E452" s="21">
        <f>SUM(E441:E451)</f>
        <v>37162</v>
      </c>
      <c r="F452" s="17">
        <v>1</v>
      </c>
      <c r="G452" s="21">
        <f>SUM(G441:G451)</f>
        <v>11887918.399999999</v>
      </c>
      <c r="H452" s="17">
        <v>1</v>
      </c>
      <c r="I452" s="21">
        <f>SUM(I441:I451)</f>
        <v>7098980.2999999998</v>
      </c>
      <c r="J452" s="17">
        <v>1</v>
      </c>
      <c r="K452" s="21">
        <f>SUM(K441:K451)</f>
        <v>53258</v>
      </c>
      <c r="L452" s="17">
        <v>1</v>
      </c>
      <c r="M452" s="21">
        <f>SUM(M441:M451)</f>
        <v>2268941.4399999995</v>
      </c>
      <c r="N452" s="17">
        <v>1</v>
      </c>
      <c r="P452" s="28"/>
      <c r="Q452" s="24"/>
      <c r="R452" s="24"/>
      <c r="S452" s="24"/>
    </row>
    <row r="453" spans="1:19" ht="24" customHeight="1" x14ac:dyDescent="0.25">
      <c r="A453" s="64" t="s">
        <v>418</v>
      </c>
      <c r="B453" s="13" t="s">
        <v>421</v>
      </c>
      <c r="C453" s="63" t="s">
        <v>88</v>
      </c>
      <c r="D453" s="2">
        <v>1</v>
      </c>
      <c r="E453" s="2">
        <v>2300</v>
      </c>
      <c r="F453" s="33">
        <f>E453/44.5</f>
        <v>51.685393258426963</v>
      </c>
      <c r="G453" s="2">
        <v>232060</v>
      </c>
      <c r="H453" s="33">
        <f>G453/4827.39</f>
        <v>48.071525192702474</v>
      </c>
      <c r="I453" s="2">
        <v>14500</v>
      </c>
      <c r="J453" s="33">
        <f>I453/963.2</f>
        <v>15.053986710963455</v>
      </c>
      <c r="K453" s="2">
        <v>0</v>
      </c>
      <c r="L453" s="2">
        <v>0</v>
      </c>
      <c r="M453" s="25">
        <v>56542</v>
      </c>
      <c r="N453" s="33">
        <f>M453/1015.39</f>
        <v>55.68500773101961</v>
      </c>
      <c r="P453" s="24"/>
      <c r="Q453" s="24"/>
      <c r="R453" s="24"/>
      <c r="S453" s="24"/>
    </row>
    <row r="454" spans="1:19" ht="22.5" customHeight="1" x14ac:dyDescent="0.25">
      <c r="A454" s="64"/>
      <c r="B454" s="13" t="s">
        <v>419</v>
      </c>
      <c r="C454" s="63"/>
      <c r="D454" s="2">
        <v>1</v>
      </c>
      <c r="E454" s="2">
        <v>900</v>
      </c>
      <c r="F454" s="33">
        <f t="shared" ref="F454:F455" si="143">E454/44.5</f>
        <v>20.224719101123597</v>
      </c>
      <c r="G454" s="2">
        <v>127000</v>
      </c>
      <c r="H454" s="33">
        <f t="shared" ref="H454:H455" si="144">G454/4827.39</f>
        <v>26.308212098048841</v>
      </c>
      <c r="I454" s="2">
        <v>46020</v>
      </c>
      <c r="J454" s="33">
        <f t="shared" ref="J454:J455" si="145">I454/963.2</f>
        <v>47.778239202657808</v>
      </c>
      <c r="K454" s="2">
        <v>0</v>
      </c>
      <c r="L454" s="2">
        <v>0</v>
      </c>
      <c r="M454" s="25">
        <v>44997</v>
      </c>
      <c r="N454" s="33">
        <f t="shared" ref="N454:N455" si="146">M454/1015.39</f>
        <v>44.31499226898039</v>
      </c>
      <c r="P454" s="24"/>
      <c r="Q454" s="24"/>
      <c r="R454" s="24"/>
      <c r="S454" s="24"/>
    </row>
    <row r="455" spans="1:19" x14ac:dyDescent="0.25">
      <c r="A455" s="64"/>
      <c r="B455" s="13" t="s">
        <v>420</v>
      </c>
      <c r="C455" s="63"/>
      <c r="D455" s="2">
        <v>1</v>
      </c>
      <c r="E455" s="2">
        <v>1250</v>
      </c>
      <c r="F455" s="33">
        <f t="shared" si="143"/>
        <v>28.089887640449437</v>
      </c>
      <c r="G455" s="2">
        <v>123679</v>
      </c>
      <c r="H455" s="33">
        <f t="shared" si="144"/>
        <v>25.620262709248681</v>
      </c>
      <c r="I455" s="2">
        <v>35800</v>
      </c>
      <c r="J455" s="33">
        <f t="shared" si="145"/>
        <v>37.167774086378735</v>
      </c>
      <c r="K455" s="2">
        <v>0</v>
      </c>
      <c r="L455" s="2">
        <v>0</v>
      </c>
      <c r="M455" s="25">
        <v>0</v>
      </c>
      <c r="N455" s="33">
        <f t="shared" si="146"/>
        <v>0</v>
      </c>
      <c r="P455" s="24"/>
      <c r="Q455" s="24"/>
      <c r="R455" s="24"/>
      <c r="S455" s="24"/>
    </row>
    <row r="456" spans="1:19" ht="15.75" x14ac:dyDescent="0.25">
      <c r="A456" s="3"/>
      <c r="B456" s="14"/>
      <c r="C456" s="3"/>
      <c r="D456" s="3">
        <v>3</v>
      </c>
      <c r="E456" s="21">
        <f>SUM(E453:E455)</f>
        <v>4450</v>
      </c>
      <c r="F456" s="17">
        <v>1</v>
      </c>
      <c r="G456" s="21">
        <f>SUM(G453:G455)</f>
        <v>482739</v>
      </c>
      <c r="H456" s="17">
        <v>1</v>
      </c>
      <c r="I456" s="21">
        <f>SUM(I453:I455)</f>
        <v>96320</v>
      </c>
      <c r="J456" s="17">
        <v>1</v>
      </c>
      <c r="K456" s="21">
        <v>0</v>
      </c>
      <c r="L456" s="17">
        <v>1</v>
      </c>
      <c r="M456" s="21">
        <f>SUM(M453:M455)</f>
        <v>101539</v>
      </c>
      <c r="N456" s="17">
        <v>1</v>
      </c>
      <c r="P456" s="28"/>
      <c r="Q456" s="24"/>
      <c r="R456" s="24"/>
      <c r="S456" s="24"/>
    </row>
    <row r="457" spans="1:19" x14ac:dyDescent="0.25">
      <c r="A457" s="62" t="s">
        <v>422</v>
      </c>
      <c r="B457" s="13" t="s">
        <v>423</v>
      </c>
      <c r="C457" s="63" t="s">
        <v>88</v>
      </c>
      <c r="D457" s="2">
        <v>1</v>
      </c>
      <c r="E457" s="2">
        <v>4982</v>
      </c>
      <c r="F457" s="33">
        <f>E457/132.97</f>
        <v>37.467097841618411</v>
      </c>
      <c r="G457" s="2">
        <v>146000</v>
      </c>
      <c r="H457" s="33">
        <f>G457/3278.06</f>
        <v>44.538538037741837</v>
      </c>
      <c r="I457" s="2">
        <v>62890</v>
      </c>
      <c r="J457" s="33">
        <f>I457/1301.3</f>
        <v>48.328594482440636</v>
      </c>
      <c r="K457" s="2">
        <v>0</v>
      </c>
      <c r="L457" s="2">
        <v>0</v>
      </c>
      <c r="M457" s="25">
        <v>86577</v>
      </c>
      <c r="N457" s="33">
        <f>M457/1859.69</f>
        <v>46.554533282428793</v>
      </c>
      <c r="P457" s="24"/>
      <c r="Q457" s="24"/>
      <c r="R457" s="24"/>
      <c r="S457" s="24"/>
    </row>
    <row r="458" spans="1:19" x14ac:dyDescent="0.25">
      <c r="A458" s="62"/>
      <c r="B458" s="13" t="s">
        <v>424</v>
      </c>
      <c r="C458" s="63"/>
      <c r="D458" s="2">
        <v>1</v>
      </c>
      <c r="E458" s="2">
        <v>2600</v>
      </c>
      <c r="F458" s="33">
        <f t="shared" ref="F458:F461" si="147">E458/132.97</f>
        <v>19.553282695344816</v>
      </c>
      <c r="G458" s="2">
        <v>125300</v>
      </c>
      <c r="H458" s="33">
        <f t="shared" ref="H458:H461" si="148">G458/3278.06</f>
        <v>38.223827507733233</v>
      </c>
      <c r="I458" s="2">
        <v>42600</v>
      </c>
      <c r="J458" s="33">
        <f t="shared" ref="J458:J461" si="149">I458/1301.3</f>
        <v>32.736494274955817</v>
      </c>
      <c r="K458" s="2">
        <v>0</v>
      </c>
      <c r="L458" s="2">
        <v>0</v>
      </c>
      <c r="M458" s="25">
        <v>64935</v>
      </c>
      <c r="N458" s="33">
        <f t="shared" ref="N458:N461" si="150">M458/1859.69</f>
        <v>34.917109840887456</v>
      </c>
      <c r="P458" s="24"/>
      <c r="Q458" s="24"/>
      <c r="R458" s="24"/>
      <c r="S458" s="24"/>
    </row>
    <row r="459" spans="1:19" x14ac:dyDescent="0.25">
      <c r="A459" s="62"/>
      <c r="B459" s="13" t="s">
        <v>425</v>
      </c>
      <c r="C459" s="63"/>
      <c r="D459" s="2">
        <v>1</v>
      </c>
      <c r="E459" s="2">
        <v>615</v>
      </c>
      <c r="F459" s="33">
        <f t="shared" si="147"/>
        <v>4.6251034067834853</v>
      </c>
      <c r="G459" s="2">
        <v>19056</v>
      </c>
      <c r="H459" s="33">
        <f t="shared" si="148"/>
        <v>5.8131943893644413</v>
      </c>
      <c r="I459" s="2">
        <v>9060</v>
      </c>
      <c r="J459" s="33">
        <f t="shared" si="149"/>
        <v>6.9622685007300396</v>
      </c>
      <c r="K459" s="2">
        <v>0</v>
      </c>
      <c r="L459" s="2">
        <v>0</v>
      </c>
      <c r="M459" s="25">
        <v>0</v>
      </c>
      <c r="N459" s="33">
        <f t="shared" si="150"/>
        <v>0</v>
      </c>
      <c r="P459" s="24"/>
      <c r="Q459" s="24"/>
      <c r="R459" s="24"/>
      <c r="S459" s="24"/>
    </row>
    <row r="460" spans="1:19" x14ac:dyDescent="0.25">
      <c r="A460" s="62"/>
      <c r="B460" s="13" t="s">
        <v>426</v>
      </c>
      <c r="C460" s="63"/>
      <c r="D460" s="2">
        <v>1</v>
      </c>
      <c r="E460" s="2">
        <v>0</v>
      </c>
      <c r="F460" s="33">
        <f t="shared" si="147"/>
        <v>0</v>
      </c>
      <c r="G460" s="2">
        <v>0</v>
      </c>
      <c r="H460" s="33">
        <f t="shared" si="148"/>
        <v>0</v>
      </c>
      <c r="I460" s="2">
        <v>0</v>
      </c>
      <c r="J460" s="33">
        <f t="shared" si="149"/>
        <v>0</v>
      </c>
      <c r="K460" s="2">
        <v>0</v>
      </c>
      <c r="L460" s="2">
        <v>0</v>
      </c>
      <c r="M460" s="25">
        <v>0</v>
      </c>
      <c r="N460" s="33">
        <f t="shared" si="150"/>
        <v>0</v>
      </c>
      <c r="P460" s="24"/>
      <c r="Q460" s="24"/>
      <c r="R460" s="24"/>
      <c r="S460" s="24"/>
    </row>
    <row r="461" spans="1:19" x14ac:dyDescent="0.25">
      <c r="A461" s="62"/>
      <c r="B461" s="13" t="s">
        <v>427</v>
      </c>
      <c r="C461" s="63"/>
      <c r="D461" s="2">
        <v>1</v>
      </c>
      <c r="E461" s="2">
        <v>5100</v>
      </c>
      <c r="F461" s="33">
        <f t="shared" si="147"/>
        <v>38.354516056253289</v>
      </c>
      <c r="G461" s="2">
        <v>37450</v>
      </c>
      <c r="H461" s="33">
        <f t="shared" si="148"/>
        <v>11.424440065160491</v>
      </c>
      <c r="I461" s="2">
        <v>15580</v>
      </c>
      <c r="J461" s="33">
        <f t="shared" si="149"/>
        <v>11.972642741873512</v>
      </c>
      <c r="K461" s="2">
        <v>0</v>
      </c>
      <c r="L461" s="2">
        <v>0</v>
      </c>
      <c r="M461" s="25">
        <v>34457</v>
      </c>
      <c r="N461" s="33">
        <f t="shared" si="150"/>
        <v>18.528356876683748</v>
      </c>
      <c r="P461" s="24"/>
      <c r="Q461" s="24"/>
      <c r="R461" s="24"/>
      <c r="S461" s="24"/>
    </row>
    <row r="462" spans="1:19" ht="15.75" x14ac:dyDescent="0.25">
      <c r="A462" s="3"/>
      <c r="B462" s="14"/>
      <c r="C462" s="3"/>
      <c r="D462" s="3"/>
      <c r="E462" s="21">
        <f>SUM(E457:E461)</f>
        <v>13297</v>
      </c>
      <c r="F462" s="17">
        <v>1</v>
      </c>
      <c r="G462" s="21">
        <f>SUM(G457:G461)</f>
        <v>327806</v>
      </c>
      <c r="H462" s="17">
        <v>1</v>
      </c>
      <c r="I462" s="21">
        <f>SUM(I457:I461)</f>
        <v>130130</v>
      </c>
      <c r="J462" s="17">
        <v>1</v>
      </c>
      <c r="K462" s="21">
        <v>0</v>
      </c>
      <c r="L462" s="17">
        <v>1</v>
      </c>
      <c r="M462" s="21">
        <f>SUM(M457:M461)</f>
        <v>185969</v>
      </c>
      <c r="N462" s="17">
        <v>1</v>
      </c>
      <c r="P462" s="28"/>
      <c r="Q462" s="24"/>
      <c r="R462" s="24"/>
      <c r="S462" s="24"/>
    </row>
    <row r="463" spans="1:19" x14ac:dyDescent="0.25">
      <c r="A463" s="62" t="s">
        <v>429</v>
      </c>
      <c r="B463" s="13" t="s">
        <v>430</v>
      </c>
      <c r="C463" s="63" t="s">
        <v>88</v>
      </c>
      <c r="D463" s="2">
        <v>4</v>
      </c>
      <c r="E463" s="2">
        <v>10900</v>
      </c>
      <c r="F463" s="33">
        <f>E463/219.8</f>
        <v>49.590536851683346</v>
      </c>
      <c r="G463" s="2">
        <v>263000</v>
      </c>
      <c r="H463" s="33">
        <f>G463/5263.52</f>
        <v>49.966562300513722</v>
      </c>
      <c r="I463" s="2">
        <v>26652</v>
      </c>
      <c r="J463" s="33">
        <f>I463/556.42</f>
        <v>47.899069048560442</v>
      </c>
      <c r="K463" s="2">
        <v>0</v>
      </c>
      <c r="L463" s="25">
        <v>0</v>
      </c>
      <c r="M463" s="25">
        <v>65230</v>
      </c>
      <c r="N463" s="33">
        <f>M463/1173.69</f>
        <v>55.576855898917088</v>
      </c>
      <c r="P463" s="24"/>
      <c r="Q463" s="24"/>
      <c r="R463" s="24"/>
      <c r="S463" s="24"/>
    </row>
    <row r="464" spans="1:19" x14ac:dyDescent="0.25">
      <c r="A464" s="62"/>
      <c r="B464" s="13" t="s">
        <v>431</v>
      </c>
      <c r="C464" s="63"/>
      <c r="D464" s="2">
        <v>1</v>
      </c>
      <c r="E464" s="2">
        <v>3500</v>
      </c>
      <c r="F464" s="33">
        <f t="shared" ref="F464:F466" si="151">E464/219.8</f>
        <v>15.923566878980891</v>
      </c>
      <c r="G464" s="2">
        <v>80032</v>
      </c>
      <c r="H464" s="33">
        <f t="shared" ref="H464:H466" si="152">G464/5263.52</f>
        <v>15.205033893668114</v>
      </c>
      <c r="I464" s="2">
        <v>9980</v>
      </c>
      <c r="J464" s="33">
        <f t="shared" ref="J464:J466" si="153">I464/556.42</f>
        <v>17.936091441716691</v>
      </c>
      <c r="K464" s="2">
        <v>0</v>
      </c>
      <c r="L464" s="25">
        <v>0</v>
      </c>
      <c r="M464" s="25">
        <v>2300</v>
      </c>
      <c r="N464" s="33">
        <f t="shared" ref="N464:N466" si="154">M464/1173.69</f>
        <v>1.9596315892612188</v>
      </c>
      <c r="P464" s="24"/>
      <c r="Q464" s="24"/>
      <c r="R464" s="24"/>
      <c r="S464" s="24"/>
    </row>
    <row r="465" spans="1:24" x14ac:dyDescent="0.25">
      <c r="A465" s="62"/>
      <c r="B465" s="13" t="s">
        <v>432</v>
      </c>
      <c r="C465" s="63"/>
      <c r="D465" s="2">
        <v>1</v>
      </c>
      <c r="E465" s="2">
        <v>4680</v>
      </c>
      <c r="F465" s="33">
        <f t="shared" si="151"/>
        <v>21.292083712465878</v>
      </c>
      <c r="G465" s="2">
        <v>129000</v>
      </c>
      <c r="H465" s="33">
        <f t="shared" si="152"/>
        <v>24.508313828008632</v>
      </c>
      <c r="I465" s="2">
        <v>12800</v>
      </c>
      <c r="J465" s="33">
        <f t="shared" si="153"/>
        <v>23.004205456309982</v>
      </c>
      <c r="K465" s="2">
        <v>0</v>
      </c>
      <c r="L465" s="25">
        <v>0</v>
      </c>
      <c r="M465" s="25">
        <v>49866</v>
      </c>
      <c r="N465" s="33">
        <f t="shared" si="154"/>
        <v>42.486516882652147</v>
      </c>
      <c r="P465" s="24"/>
      <c r="Q465" s="24"/>
      <c r="R465" s="24"/>
      <c r="S465" s="24"/>
    </row>
    <row r="466" spans="1:24" x14ac:dyDescent="0.25">
      <c r="A466" s="62"/>
      <c r="B466" s="13" t="s">
        <v>433</v>
      </c>
      <c r="C466" s="63"/>
      <c r="D466" s="2">
        <v>1</v>
      </c>
      <c r="E466" s="2">
        <v>2900</v>
      </c>
      <c r="F466" s="33">
        <f t="shared" si="151"/>
        <v>13.193812556869881</v>
      </c>
      <c r="G466" s="2">
        <v>54320</v>
      </c>
      <c r="H466" s="33">
        <f t="shared" si="152"/>
        <v>10.320089977809525</v>
      </c>
      <c r="I466" s="2">
        <v>6210</v>
      </c>
      <c r="J466" s="33">
        <f t="shared" si="153"/>
        <v>11.16063405341289</v>
      </c>
      <c r="K466" s="2">
        <v>0</v>
      </c>
      <c r="L466" s="25">
        <v>0</v>
      </c>
      <c r="M466" s="25">
        <v>0</v>
      </c>
      <c r="N466" s="33">
        <f t="shared" si="154"/>
        <v>0</v>
      </c>
      <c r="P466" s="24"/>
      <c r="Q466" s="24"/>
      <c r="R466" s="24"/>
      <c r="S466" s="24"/>
    </row>
    <row r="467" spans="1:24" ht="15.75" x14ac:dyDescent="0.25">
      <c r="A467" s="3"/>
      <c r="B467" s="14"/>
      <c r="C467" s="3"/>
      <c r="D467" s="3">
        <v>7</v>
      </c>
      <c r="E467" s="21">
        <f>SUM(E463:E466)</f>
        <v>21980</v>
      </c>
      <c r="F467" s="17">
        <v>1</v>
      </c>
      <c r="G467" s="21">
        <f>SUM(G463:G466)</f>
        <v>526352</v>
      </c>
      <c r="H467" s="17">
        <v>1</v>
      </c>
      <c r="I467" s="21">
        <f>SUM(I463:I466)</f>
        <v>55642</v>
      </c>
      <c r="J467" s="17">
        <v>1</v>
      </c>
      <c r="K467" s="21">
        <v>0</v>
      </c>
      <c r="L467" s="17">
        <v>1</v>
      </c>
      <c r="M467" s="21">
        <f>SUM(M463:M466)</f>
        <v>117396</v>
      </c>
      <c r="N467" s="17">
        <v>1</v>
      </c>
      <c r="P467" s="28"/>
      <c r="Q467" s="24"/>
      <c r="R467" s="24"/>
      <c r="S467" s="24"/>
    </row>
    <row r="468" spans="1:24" x14ac:dyDescent="0.25">
      <c r="A468" s="62" t="s">
        <v>440</v>
      </c>
      <c r="B468" s="27" t="s">
        <v>439</v>
      </c>
      <c r="C468" s="63" t="s">
        <v>88</v>
      </c>
      <c r="D468" s="2">
        <v>1</v>
      </c>
      <c r="E468" s="25">
        <v>0</v>
      </c>
      <c r="F468" s="25">
        <v>0</v>
      </c>
      <c r="G468" s="25">
        <v>59000</v>
      </c>
      <c r="H468" s="33">
        <f t="shared" ref="H468" si="155">G468/4870</f>
        <v>12.114989733059549</v>
      </c>
      <c r="I468" s="25">
        <v>13000</v>
      </c>
      <c r="J468" s="33">
        <f t="shared" ref="J468" si="156">I468/1545.59</f>
        <v>8.4110275040599394</v>
      </c>
      <c r="K468" s="2">
        <v>0</v>
      </c>
      <c r="L468" s="25">
        <v>0</v>
      </c>
      <c r="M468" s="25">
        <v>14587</v>
      </c>
      <c r="N468" s="33">
        <f>M468/1343.17</f>
        <v>10.860129395385542</v>
      </c>
      <c r="P468" s="24"/>
      <c r="Q468" s="24"/>
      <c r="R468" s="24"/>
      <c r="S468" s="24"/>
    </row>
    <row r="469" spans="1:24" x14ac:dyDescent="0.25">
      <c r="A469" s="62"/>
      <c r="B469" s="13" t="s">
        <v>436</v>
      </c>
      <c r="C469" s="63"/>
      <c r="D469" s="2">
        <v>1</v>
      </c>
      <c r="E469" s="2">
        <v>0</v>
      </c>
      <c r="F469" s="2">
        <v>0</v>
      </c>
      <c r="G469" s="2">
        <v>85000</v>
      </c>
      <c r="H469" s="33">
        <f t="shared" ref="H469:H471" si="157">G469/4870</f>
        <v>17.453798767967147</v>
      </c>
      <c r="I469" s="2">
        <v>30700</v>
      </c>
      <c r="J469" s="33">
        <f t="shared" ref="J469:J471" si="158">I469/1545.59</f>
        <v>19.862964951895393</v>
      </c>
      <c r="K469" s="2">
        <v>0</v>
      </c>
      <c r="L469" s="25">
        <v>0</v>
      </c>
      <c r="M469" s="25">
        <v>7899</v>
      </c>
      <c r="N469" s="33">
        <f t="shared" ref="N469:N472" si="159">M469/1343.17</f>
        <v>5.8808639263831086</v>
      </c>
      <c r="P469" s="24"/>
      <c r="Q469" s="24"/>
      <c r="R469" s="24"/>
      <c r="S469" s="24"/>
    </row>
    <row r="470" spans="1:24" x14ac:dyDescent="0.25">
      <c r="A470" s="62"/>
      <c r="B470" s="13" t="s">
        <v>437</v>
      </c>
      <c r="C470" s="63"/>
      <c r="D470" s="2">
        <v>1</v>
      </c>
      <c r="E470" s="2">
        <v>0</v>
      </c>
      <c r="F470" s="2">
        <v>0</v>
      </c>
      <c r="G470" s="2">
        <v>83000</v>
      </c>
      <c r="H470" s="33">
        <f t="shared" si="157"/>
        <v>17.043121149897331</v>
      </c>
      <c r="I470" s="2">
        <v>18009</v>
      </c>
      <c r="J470" s="33">
        <f t="shared" si="158"/>
        <v>11.651861101585803</v>
      </c>
      <c r="K470" s="2">
        <v>0</v>
      </c>
      <c r="L470" s="25">
        <v>0</v>
      </c>
      <c r="M470" s="25">
        <v>26570</v>
      </c>
      <c r="N470" s="33">
        <f t="shared" si="159"/>
        <v>19.781561529813796</v>
      </c>
      <c r="P470" s="24"/>
      <c r="Q470" s="24"/>
      <c r="R470" s="24"/>
      <c r="S470" s="24"/>
    </row>
    <row r="471" spans="1:24" x14ac:dyDescent="0.25">
      <c r="A471" s="62"/>
      <c r="B471" s="13" t="s">
        <v>438</v>
      </c>
      <c r="C471" s="63"/>
      <c r="D471" s="2">
        <v>1</v>
      </c>
      <c r="E471" s="2">
        <v>0</v>
      </c>
      <c r="F471" s="2">
        <v>0</v>
      </c>
      <c r="G471" s="2">
        <v>60000</v>
      </c>
      <c r="H471" s="33">
        <f t="shared" si="157"/>
        <v>12.320328542094456</v>
      </c>
      <c r="I471" s="2">
        <v>17800</v>
      </c>
      <c r="J471" s="33">
        <f t="shared" si="158"/>
        <v>11.516637659405147</v>
      </c>
      <c r="K471" s="2">
        <v>0</v>
      </c>
      <c r="L471" s="25">
        <v>0</v>
      </c>
      <c r="M471" s="25">
        <v>700</v>
      </c>
      <c r="N471" s="33">
        <f t="shared" si="159"/>
        <v>0.52115517767669017</v>
      </c>
      <c r="P471" s="24"/>
      <c r="Q471" s="24"/>
      <c r="R471" s="24"/>
      <c r="S471" s="24"/>
    </row>
    <row r="472" spans="1:24" x14ac:dyDescent="0.25">
      <c r="A472" s="62"/>
      <c r="B472" s="27" t="s">
        <v>435</v>
      </c>
      <c r="C472" s="63"/>
      <c r="D472" s="25">
        <v>2</v>
      </c>
      <c r="E472" s="25">
        <v>0</v>
      </c>
      <c r="F472" s="25">
        <v>0</v>
      </c>
      <c r="G472" s="25">
        <v>200000</v>
      </c>
      <c r="H472" s="33">
        <f>G472/4870</f>
        <v>41.067761806981522</v>
      </c>
      <c r="I472" s="25">
        <v>75050</v>
      </c>
      <c r="J472" s="33">
        <f>I472/1545.59</f>
        <v>48.55750878305372</v>
      </c>
      <c r="K472" s="2">
        <v>0</v>
      </c>
      <c r="L472" s="25">
        <v>0</v>
      </c>
      <c r="M472" s="25">
        <v>84561</v>
      </c>
      <c r="N472" s="33">
        <f t="shared" si="159"/>
        <v>62.956289970740855</v>
      </c>
      <c r="P472" s="24"/>
      <c r="Q472" s="24"/>
      <c r="R472" s="24"/>
      <c r="S472" s="24"/>
      <c r="T472" s="24"/>
      <c r="U472" s="24"/>
      <c r="V472" s="24"/>
      <c r="W472" s="24"/>
      <c r="X472" s="24"/>
    </row>
    <row r="473" spans="1:24" ht="15.75" x14ac:dyDescent="0.25">
      <c r="A473" s="14"/>
      <c r="B473" s="14"/>
      <c r="C473" s="3"/>
      <c r="D473" s="3">
        <v>6</v>
      </c>
      <c r="E473" s="21">
        <f>SUM(E468:E472)</f>
        <v>0</v>
      </c>
      <c r="F473" s="17">
        <v>1</v>
      </c>
      <c r="G473" s="21">
        <f>SUM(G468:G472)</f>
        <v>487000</v>
      </c>
      <c r="H473" s="17">
        <v>1</v>
      </c>
      <c r="I473" s="21">
        <f>SUM(I468:I472)</f>
        <v>154559</v>
      </c>
      <c r="J473" s="17">
        <v>1</v>
      </c>
      <c r="K473" s="21">
        <v>0</v>
      </c>
      <c r="L473" s="17">
        <v>1</v>
      </c>
      <c r="M473" s="21">
        <f>SUM(M468:M472)</f>
        <v>134317</v>
      </c>
      <c r="N473" s="17">
        <v>1</v>
      </c>
      <c r="P473" s="28"/>
      <c r="Q473" s="24"/>
      <c r="R473" s="24"/>
      <c r="S473" s="24"/>
      <c r="T473" s="24"/>
      <c r="U473" s="31"/>
      <c r="V473" s="24"/>
      <c r="W473" s="31"/>
      <c r="X473" s="24"/>
    </row>
    <row r="474" spans="1:24" ht="15" customHeight="1" x14ac:dyDescent="0.25">
      <c r="A474" s="62" t="s">
        <v>441</v>
      </c>
      <c r="B474" s="13" t="s">
        <v>442</v>
      </c>
      <c r="C474" s="63" t="s">
        <v>88</v>
      </c>
      <c r="D474" s="2">
        <v>1</v>
      </c>
      <c r="E474" s="2">
        <v>0</v>
      </c>
      <c r="F474" s="33">
        <f>E474/1796.51</f>
        <v>0</v>
      </c>
      <c r="G474" s="33">
        <v>719300</v>
      </c>
      <c r="H474" s="33">
        <f>G474/196183.74</f>
        <v>3.6664608392112417</v>
      </c>
      <c r="I474" s="33">
        <v>485041.82</v>
      </c>
      <c r="J474" s="33">
        <f>I474/109270.31</f>
        <v>4.438916847586504</v>
      </c>
      <c r="K474" s="2">
        <v>9200</v>
      </c>
      <c r="L474" s="33">
        <f>K474/1332.24</f>
        <v>6.9056626433675614</v>
      </c>
      <c r="M474" s="33">
        <v>282990.40000000002</v>
      </c>
      <c r="N474" s="33">
        <f>M474/40414.91</f>
        <v>7.0021286698399177</v>
      </c>
      <c r="P474" s="24"/>
      <c r="Q474" s="24"/>
      <c r="R474" s="24"/>
      <c r="S474" s="24"/>
      <c r="T474" s="24"/>
      <c r="U474" s="24"/>
      <c r="V474" s="24"/>
      <c r="W474" s="24"/>
      <c r="X474" s="24"/>
    </row>
    <row r="475" spans="1:24" ht="15" customHeight="1" x14ac:dyDescent="0.25">
      <c r="A475" s="62"/>
      <c r="B475" s="13" t="s">
        <v>443</v>
      </c>
      <c r="C475" s="63"/>
      <c r="D475" s="2">
        <v>2</v>
      </c>
      <c r="E475" s="2">
        <v>0</v>
      </c>
      <c r="F475" s="33">
        <f t="shared" ref="F475:F491" si="160">E475/1796.51</f>
        <v>0</v>
      </c>
      <c r="G475" s="33">
        <v>870000.04</v>
      </c>
      <c r="H475" s="33">
        <f t="shared" ref="H475:H491" si="161">G475/196183.74</f>
        <v>4.4346184857114057</v>
      </c>
      <c r="I475" s="33">
        <v>326001.18</v>
      </c>
      <c r="J475" s="33">
        <f t="shared" ref="J475:J491" si="162">I475/109270.31</f>
        <v>2.9834378615746582</v>
      </c>
      <c r="K475" s="2">
        <v>0</v>
      </c>
      <c r="L475" s="33">
        <f t="shared" ref="L475:L491" si="163">K475/1332.24</f>
        <v>0</v>
      </c>
      <c r="M475" s="25">
        <v>0</v>
      </c>
      <c r="N475" s="33">
        <f t="shared" ref="N475:N491" si="164">M475/40414.91</f>
        <v>0</v>
      </c>
      <c r="P475" s="24"/>
      <c r="Q475" s="24"/>
      <c r="R475" s="24"/>
      <c r="S475" s="24"/>
    </row>
    <row r="476" spans="1:24" ht="15" customHeight="1" x14ac:dyDescent="0.25">
      <c r="A476" s="62"/>
      <c r="B476" s="13" t="s">
        <v>444</v>
      </c>
      <c r="C476" s="63"/>
      <c r="D476" s="2">
        <v>1</v>
      </c>
      <c r="E476" s="2">
        <v>0</v>
      </c>
      <c r="F476" s="33">
        <f t="shared" si="160"/>
        <v>0</v>
      </c>
      <c r="G476" s="33">
        <v>1383503.94</v>
      </c>
      <c r="H476" s="33">
        <f t="shared" si="161"/>
        <v>7.0520826037876532</v>
      </c>
      <c r="I476" s="33">
        <v>792417.39</v>
      </c>
      <c r="J476" s="33">
        <f t="shared" si="162"/>
        <v>7.2519002645823925</v>
      </c>
      <c r="K476" s="2">
        <v>0</v>
      </c>
      <c r="L476" s="33">
        <f t="shared" si="163"/>
        <v>0</v>
      </c>
      <c r="M476" s="25">
        <v>327230.8</v>
      </c>
      <c r="N476" s="33">
        <f t="shared" si="164"/>
        <v>8.0967840829040565</v>
      </c>
      <c r="P476" s="24"/>
      <c r="Q476" s="24"/>
      <c r="R476" s="24"/>
      <c r="S476" s="24"/>
    </row>
    <row r="477" spans="1:24" ht="15" customHeight="1" x14ac:dyDescent="0.25">
      <c r="A477" s="62"/>
      <c r="B477" s="13" t="s">
        <v>445</v>
      </c>
      <c r="C477" s="63"/>
      <c r="D477" s="2">
        <v>2</v>
      </c>
      <c r="E477" s="2">
        <v>15476</v>
      </c>
      <c r="F477" s="33">
        <f t="shared" si="160"/>
        <v>8.6144802979109496</v>
      </c>
      <c r="G477" s="33">
        <v>792005.76</v>
      </c>
      <c r="H477" s="33">
        <f t="shared" si="161"/>
        <v>4.0370611754062802</v>
      </c>
      <c r="I477" s="33">
        <v>612040</v>
      </c>
      <c r="J477" s="33">
        <f t="shared" si="162"/>
        <v>5.6011555197381613</v>
      </c>
      <c r="K477" s="2">
        <v>0</v>
      </c>
      <c r="L477" s="33">
        <f t="shared" si="163"/>
        <v>0</v>
      </c>
      <c r="M477" s="25">
        <v>0</v>
      </c>
      <c r="N477" s="33">
        <f t="shared" si="164"/>
        <v>0</v>
      </c>
      <c r="P477" s="24"/>
      <c r="Q477" s="24"/>
      <c r="R477" s="24"/>
      <c r="S477" s="24"/>
    </row>
    <row r="478" spans="1:24" ht="15" customHeight="1" x14ac:dyDescent="0.25">
      <c r="A478" s="62"/>
      <c r="B478" s="13" t="s">
        <v>446</v>
      </c>
      <c r="C478" s="63"/>
      <c r="D478" s="2">
        <v>1</v>
      </c>
      <c r="E478" s="2">
        <v>0</v>
      </c>
      <c r="F478" s="33">
        <f t="shared" si="160"/>
        <v>0</v>
      </c>
      <c r="G478" s="33">
        <v>1047500.7</v>
      </c>
      <c r="H478" s="33">
        <f t="shared" si="161"/>
        <v>5.3393859246439082</v>
      </c>
      <c r="I478" s="33">
        <v>781810.4800000001</v>
      </c>
      <c r="J478" s="33">
        <f t="shared" si="162"/>
        <v>7.1548298892901476</v>
      </c>
      <c r="K478" s="2">
        <v>0</v>
      </c>
      <c r="L478" s="33">
        <f t="shared" si="163"/>
        <v>0</v>
      </c>
      <c r="M478" s="25">
        <v>423265</v>
      </c>
      <c r="N478" s="33">
        <f t="shared" si="164"/>
        <v>10.472991279703455</v>
      </c>
      <c r="P478" s="24"/>
      <c r="Q478" s="24"/>
      <c r="R478" s="24"/>
      <c r="S478" s="24"/>
    </row>
    <row r="479" spans="1:24" ht="15" customHeight="1" x14ac:dyDescent="0.25">
      <c r="A479" s="62"/>
      <c r="B479" s="13" t="s">
        <v>447</v>
      </c>
      <c r="C479" s="63"/>
      <c r="D479" s="2">
        <v>2</v>
      </c>
      <c r="E479" s="2">
        <v>12740</v>
      </c>
      <c r="F479" s="33">
        <f t="shared" si="160"/>
        <v>7.0915274615782824</v>
      </c>
      <c r="G479" s="33">
        <v>1574527.5</v>
      </c>
      <c r="H479" s="33">
        <f t="shared" si="161"/>
        <v>8.0257798123330719</v>
      </c>
      <c r="I479" s="33">
        <v>696099.20000000007</v>
      </c>
      <c r="J479" s="33">
        <f t="shared" si="162"/>
        <v>6.3704331030084944</v>
      </c>
      <c r="K479" s="2">
        <v>19144</v>
      </c>
      <c r="L479" s="33">
        <f t="shared" si="163"/>
        <v>14.369783222242239</v>
      </c>
      <c r="M479" s="25">
        <v>291224</v>
      </c>
      <c r="N479" s="33">
        <f t="shared" si="164"/>
        <v>7.2058554627487723</v>
      </c>
      <c r="P479" s="24"/>
      <c r="Q479" s="24"/>
      <c r="R479" s="24"/>
      <c r="S479" s="24"/>
    </row>
    <row r="480" spans="1:24" ht="15" customHeight="1" x14ac:dyDescent="0.25">
      <c r="A480" s="62"/>
      <c r="B480" s="13" t="s">
        <v>448</v>
      </c>
      <c r="C480" s="63"/>
      <c r="D480" s="2">
        <v>2</v>
      </c>
      <c r="E480" s="2">
        <v>0</v>
      </c>
      <c r="F480" s="33">
        <f t="shared" si="160"/>
        <v>0</v>
      </c>
      <c r="G480" s="33">
        <v>1701500</v>
      </c>
      <c r="H480" s="33">
        <f t="shared" si="161"/>
        <v>8.6729919615152617</v>
      </c>
      <c r="I480" s="33">
        <v>750080.70000000007</v>
      </c>
      <c r="J480" s="33">
        <f t="shared" si="162"/>
        <v>6.8644511029574282</v>
      </c>
      <c r="K480" s="2">
        <v>0</v>
      </c>
      <c r="L480" s="33">
        <f t="shared" si="163"/>
        <v>0</v>
      </c>
      <c r="M480" s="25">
        <v>311404</v>
      </c>
      <c r="N480" s="33">
        <f t="shared" si="164"/>
        <v>7.7051761342534224</v>
      </c>
      <c r="P480" s="24"/>
      <c r="Q480" s="24"/>
      <c r="R480" s="24"/>
      <c r="S480" s="24"/>
    </row>
    <row r="481" spans="1:19" ht="15" customHeight="1" x14ac:dyDescent="0.25">
      <c r="A481" s="62"/>
      <c r="B481" s="13" t="s">
        <v>449</v>
      </c>
      <c r="C481" s="63"/>
      <c r="D481" s="2">
        <v>1</v>
      </c>
      <c r="E481" s="2">
        <v>0</v>
      </c>
      <c r="F481" s="33">
        <f t="shared" si="160"/>
        <v>0</v>
      </c>
      <c r="G481" s="33">
        <v>974527</v>
      </c>
      <c r="H481" s="33">
        <f t="shared" si="161"/>
        <v>4.967419827963317</v>
      </c>
      <c r="I481" s="33">
        <v>738353.5</v>
      </c>
      <c r="J481" s="33">
        <f t="shared" si="162"/>
        <v>6.7571282629288785</v>
      </c>
      <c r="K481" s="2">
        <v>17300</v>
      </c>
      <c r="L481" s="33">
        <f t="shared" si="163"/>
        <v>12.98564823154987</v>
      </c>
      <c r="M481" s="25">
        <v>458368</v>
      </c>
      <c r="N481" s="33">
        <f t="shared" si="164"/>
        <v>11.34155686601801</v>
      </c>
      <c r="P481" s="24"/>
      <c r="Q481" s="24"/>
      <c r="R481" s="24"/>
      <c r="S481" s="24"/>
    </row>
    <row r="482" spans="1:19" ht="15" customHeight="1" x14ac:dyDescent="0.25">
      <c r="A482" s="62"/>
      <c r="B482" s="13" t="s">
        <v>450</v>
      </c>
      <c r="C482" s="63"/>
      <c r="D482" s="2">
        <v>1</v>
      </c>
      <c r="E482" s="2">
        <v>0</v>
      </c>
      <c r="F482" s="33">
        <f t="shared" si="160"/>
        <v>0</v>
      </c>
      <c r="G482" s="33">
        <v>834003</v>
      </c>
      <c r="H482" s="33">
        <f t="shared" si="161"/>
        <v>4.2511321274637748</v>
      </c>
      <c r="I482" s="33">
        <v>643605</v>
      </c>
      <c r="J482" s="33">
        <f t="shared" si="162"/>
        <v>5.8900263026617203</v>
      </c>
      <c r="K482" s="2">
        <v>0</v>
      </c>
      <c r="L482" s="33">
        <f t="shared" si="163"/>
        <v>0</v>
      </c>
      <c r="M482" s="25">
        <v>222948</v>
      </c>
      <c r="N482" s="33">
        <f t="shared" si="164"/>
        <v>5.5164789430435448</v>
      </c>
      <c r="P482" s="24"/>
      <c r="Q482" s="24"/>
      <c r="R482" s="24"/>
      <c r="S482" s="24"/>
    </row>
    <row r="483" spans="1:19" ht="15" customHeight="1" x14ac:dyDescent="0.25">
      <c r="A483" s="62"/>
      <c r="B483" s="13" t="s">
        <v>451</v>
      </c>
      <c r="C483" s="63"/>
      <c r="D483" s="2">
        <v>1</v>
      </c>
      <c r="E483" s="2">
        <v>0</v>
      </c>
      <c r="F483" s="33">
        <f t="shared" si="160"/>
        <v>0</v>
      </c>
      <c r="G483" s="33">
        <v>908695.06</v>
      </c>
      <c r="H483" s="33">
        <f t="shared" si="161"/>
        <v>4.6318571559498256</v>
      </c>
      <c r="I483" s="33">
        <v>691006</v>
      </c>
      <c r="J483" s="33">
        <f t="shared" si="162"/>
        <v>6.3238220885435394</v>
      </c>
      <c r="K483" s="2">
        <v>0</v>
      </c>
      <c r="L483" s="33">
        <f t="shared" si="163"/>
        <v>0</v>
      </c>
      <c r="M483" s="25">
        <v>56900</v>
      </c>
      <c r="N483" s="33">
        <f t="shared" si="164"/>
        <v>1.4078962442326357</v>
      </c>
      <c r="P483" s="24"/>
      <c r="Q483" s="24"/>
      <c r="R483" s="24"/>
      <c r="S483" s="24"/>
    </row>
    <row r="484" spans="1:19" ht="15" customHeight="1" x14ac:dyDescent="0.25">
      <c r="A484" s="62"/>
      <c r="B484" s="13" t="s">
        <v>452</v>
      </c>
      <c r="C484" s="63"/>
      <c r="D484" s="2">
        <v>2</v>
      </c>
      <c r="E484" s="2">
        <v>23866</v>
      </c>
      <c r="F484" s="33">
        <f t="shared" si="160"/>
        <v>13.284646342074355</v>
      </c>
      <c r="G484" s="33">
        <v>1639289</v>
      </c>
      <c r="H484" s="33">
        <f t="shared" si="161"/>
        <v>8.3558861707907095</v>
      </c>
      <c r="I484" s="33">
        <v>877881.5</v>
      </c>
      <c r="J484" s="33">
        <f t="shared" si="162"/>
        <v>8.0340350457503042</v>
      </c>
      <c r="K484" s="2">
        <v>37600</v>
      </c>
      <c r="L484" s="33">
        <f t="shared" si="163"/>
        <v>28.223142977241338</v>
      </c>
      <c r="M484" s="25">
        <v>230528</v>
      </c>
      <c r="N484" s="33">
        <f t="shared" si="164"/>
        <v>5.7040334866513369</v>
      </c>
      <c r="P484" s="24"/>
      <c r="Q484" s="24"/>
      <c r="R484" s="24"/>
      <c r="S484" s="24"/>
    </row>
    <row r="485" spans="1:19" ht="15" customHeight="1" x14ac:dyDescent="0.25">
      <c r="A485" s="62"/>
      <c r="B485" s="13" t="s">
        <v>453</v>
      </c>
      <c r="C485" s="63"/>
      <c r="D485" s="2">
        <v>1</v>
      </c>
      <c r="E485" s="2">
        <v>5246</v>
      </c>
      <c r="F485" s="33">
        <f t="shared" si="160"/>
        <v>2.9201062059214813</v>
      </c>
      <c r="G485" s="33">
        <v>622440</v>
      </c>
      <c r="H485" s="33">
        <f t="shared" si="161"/>
        <v>3.1727400038351803</v>
      </c>
      <c r="I485" s="33">
        <v>0</v>
      </c>
      <c r="J485" s="33">
        <f t="shared" si="162"/>
        <v>0</v>
      </c>
      <c r="K485" s="2">
        <v>0</v>
      </c>
      <c r="L485" s="33">
        <f t="shared" si="163"/>
        <v>0</v>
      </c>
      <c r="M485" s="25">
        <v>0</v>
      </c>
      <c r="N485" s="33">
        <f t="shared" si="164"/>
        <v>0</v>
      </c>
      <c r="P485" s="24"/>
      <c r="Q485" s="24"/>
      <c r="R485" s="24"/>
      <c r="S485" s="24"/>
    </row>
    <row r="486" spans="1:19" ht="15" customHeight="1" x14ac:dyDescent="0.25">
      <c r="A486" s="62"/>
      <c r="B486" s="13" t="s">
        <v>454</v>
      </c>
      <c r="C486" s="63"/>
      <c r="D486" s="2">
        <v>2</v>
      </c>
      <c r="E486" s="2">
        <v>1470</v>
      </c>
      <c r="F486" s="33">
        <f t="shared" si="160"/>
        <v>0.81825316864364794</v>
      </c>
      <c r="G486" s="33">
        <v>879515</v>
      </c>
      <c r="H486" s="33">
        <f t="shared" si="161"/>
        <v>4.4831187334893299</v>
      </c>
      <c r="I486" s="33">
        <v>806780</v>
      </c>
      <c r="J486" s="33">
        <f t="shared" si="162"/>
        <v>7.383341366927576</v>
      </c>
      <c r="K486" s="2">
        <v>0</v>
      </c>
      <c r="L486" s="33">
        <f t="shared" si="163"/>
        <v>0</v>
      </c>
      <c r="M486" s="25">
        <v>324800</v>
      </c>
      <c r="N486" s="33">
        <f t="shared" si="164"/>
        <v>8.0366379635634466</v>
      </c>
      <c r="P486" s="24"/>
      <c r="Q486" s="24"/>
      <c r="R486" s="24"/>
      <c r="S486" s="24"/>
    </row>
    <row r="487" spans="1:19" ht="15" customHeight="1" x14ac:dyDescent="0.25">
      <c r="A487" s="62"/>
      <c r="B487" s="13" t="s">
        <v>455</v>
      </c>
      <c r="C487" s="63"/>
      <c r="D487" s="2">
        <v>1</v>
      </c>
      <c r="E487" s="2">
        <v>0</v>
      </c>
      <c r="F487" s="33">
        <f t="shared" si="160"/>
        <v>0</v>
      </c>
      <c r="G487" s="33">
        <v>1074428</v>
      </c>
      <c r="H487" s="33">
        <f t="shared" si="161"/>
        <v>5.4766414382761797</v>
      </c>
      <c r="I487" s="33">
        <v>878473.21000000008</v>
      </c>
      <c r="J487" s="33">
        <f t="shared" si="162"/>
        <v>8.0394501489013805</v>
      </c>
      <c r="K487" s="2">
        <v>29650</v>
      </c>
      <c r="L487" s="33">
        <f t="shared" si="163"/>
        <v>22.255749714766107</v>
      </c>
      <c r="M487" s="25">
        <v>351601.2</v>
      </c>
      <c r="N487" s="33">
        <f t="shared" si="164"/>
        <v>8.6997892609435468</v>
      </c>
      <c r="P487" s="24"/>
      <c r="Q487" s="24"/>
      <c r="R487" s="24"/>
      <c r="S487" s="24"/>
    </row>
    <row r="488" spans="1:19" ht="15" customHeight="1" x14ac:dyDescent="0.25">
      <c r="A488" s="62"/>
      <c r="B488" s="13" t="s">
        <v>456</v>
      </c>
      <c r="C488" s="63"/>
      <c r="D488" s="2">
        <v>2</v>
      </c>
      <c r="E488" s="2">
        <v>46325</v>
      </c>
      <c r="F488" s="33">
        <f t="shared" si="160"/>
        <v>25.786107508446932</v>
      </c>
      <c r="G488" s="33">
        <v>1674427.3</v>
      </c>
      <c r="H488" s="33">
        <f t="shared" si="161"/>
        <v>8.5349953059310621</v>
      </c>
      <c r="I488" s="33">
        <v>428128.4</v>
      </c>
      <c r="J488" s="33">
        <f t="shared" si="162"/>
        <v>3.9180670394364219</v>
      </c>
      <c r="K488" s="2">
        <v>0</v>
      </c>
      <c r="L488" s="33">
        <f t="shared" si="163"/>
        <v>0</v>
      </c>
      <c r="M488" s="25">
        <v>183248</v>
      </c>
      <c r="N488" s="33">
        <f t="shared" si="164"/>
        <v>4.5341682067336038</v>
      </c>
      <c r="P488" s="24"/>
      <c r="Q488" s="24"/>
      <c r="R488" s="24"/>
      <c r="S488" s="24"/>
    </row>
    <row r="489" spans="1:19" ht="15" customHeight="1" x14ac:dyDescent="0.25">
      <c r="A489" s="62"/>
      <c r="B489" s="13" t="s">
        <v>133</v>
      </c>
      <c r="C489" s="63"/>
      <c r="D489" s="2">
        <v>1</v>
      </c>
      <c r="E489" s="2">
        <v>0</v>
      </c>
      <c r="F489" s="33">
        <f t="shared" si="160"/>
        <v>0</v>
      </c>
      <c r="G489" s="33">
        <v>907470</v>
      </c>
      <c r="H489" s="33">
        <f t="shared" si="161"/>
        <v>4.6256127036827825</v>
      </c>
      <c r="I489" s="33">
        <v>632156</v>
      </c>
      <c r="J489" s="33">
        <f t="shared" si="162"/>
        <v>5.7852494424148704</v>
      </c>
      <c r="K489" s="2">
        <v>0</v>
      </c>
      <c r="L489" s="33">
        <f t="shared" si="163"/>
        <v>0</v>
      </c>
      <c r="M489" s="25">
        <v>259520</v>
      </c>
      <c r="N489" s="33">
        <f t="shared" si="164"/>
        <v>6.4213925009359167</v>
      </c>
      <c r="O489" s="31"/>
      <c r="P489" s="24"/>
      <c r="Q489" s="24"/>
      <c r="R489" s="24"/>
      <c r="S489" s="24"/>
    </row>
    <row r="490" spans="1:19" ht="15" customHeight="1" x14ac:dyDescent="0.25">
      <c r="A490" s="62"/>
      <c r="B490" s="13" t="s">
        <v>413</v>
      </c>
      <c r="C490" s="63"/>
      <c r="D490" s="2">
        <v>1</v>
      </c>
      <c r="E490" s="2">
        <v>34528</v>
      </c>
      <c r="F490" s="33">
        <f t="shared" si="160"/>
        <v>19.219486671379507</v>
      </c>
      <c r="G490" s="33">
        <v>1365242.06</v>
      </c>
      <c r="H490" s="33">
        <f t="shared" si="161"/>
        <v>6.9589970096400453</v>
      </c>
      <c r="I490" s="33">
        <v>787156.20000000007</v>
      </c>
      <c r="J490" s="33">
        <f t="shared" si="162"/>
        <v>7.2037518700184897</v>
      </c>
      <c r="K490" s="2">
        <v>20330</v>
      </c>
      <c r="L490" s="33">
        <f t="shared" si="163"/>
        <v>15.260013210832883</v>
      </c>
      <c r="M490" s="25">
        <v>317464</v>
      </c>
      <c r="N490" s="33">
        <f t="shared" si="164"/>
        <v>7.8551207957657203</v>
      </c>
      <c r="P490" s="24"/>
      <c r="Q490" s="24"/>
      <c r="R490" s="24"/>
      <c r="S490" s="24"/>
    </row>
    <row r="491" spans="1:19" ht="15" customHeight="1" x14ac:dyDescent="0.25">
      <c r="A491" s="62"/>
      <c r="B491" s="13" t="s">
        <v>457</v>
      </c>
      <c r="C491" s="63"/>
      <c r="D491" s="2">
        <v>1</v>
      </c>
      <c r="E491" s="2">
        <v>0</v>
      </c>
      <c r="F491" s="33">
        <f t="shared" si="160"/>
        <v>0</v>
      </c>
      <c r="G491" s="33">
        <v>650000</v>
      </c>
      <c r="H491" s="33">
        <f t="shared" si="161"/>
        <v>3.3132205553834382</v>
      </c>
      <c r="I491" s="33">
        <v>0</v>
      </c>
      <c r="J491" s="33">
        <f t="shared" si="162"/>
        <v>0</v>
      </c>
      <c r="K491" s="2">
        <v>0</v>
      </c>
      <c r="L491" s="33">
        <f t="shared" si="163"/>
        <v>0</v>
      </c>
      <c r="M491" s="25">
        <v>0</v>
      </c>
      <c r="N491" s="33">
        <f t="shared" si="164"/>
        <v>0</v>
      </c>
      <c r="P491" s="24"/>
      <c r="Q491" s="24"/>
      <c r="R491" s="24"/>
      <c r="S491" s="24"/>
    </row>
    <row r="492" spans="1:19" ht="15" customHeight="1" x14ac:dyDescent="0.25">
      <c r="A492" s="8"/>
      <c r="B492" s="14"/>
      <c r="C492" s="9"/>
      <c r="D492" s="3">
        <f>SUM(D474:D491)</f>
        <v>25</v>
      </c>
      <c r="E492" s="21">
        <f>SUM(E474:E491)</f>
        <v>139651</v>
      </c>
      <c r="F492" s="17">
        <v>1</v>
      </c>
      <c r="G492" s="21">
        <f>SUM(G474:G491)</f>
        <v>19618374.360000003</v>
      </c>
      <c r="H492" s="17">
        <v>1</v>
      </c>
      <c r="I492" s="21">
        <f>SUM(I474:I491)</f>
        <v>10927030.58</v>
      </c>
      <c r="J492" s="17">
        <v>1</v>
      </c>
      <c r="K492" s="21">
        <f>SUM(K453:K491)</f>
        <v>133224</v>
      </c>
      <c r="L492" s="17">
        <v>1</v>
      </c>
      <c r="M492" s="21">
        <f>SUM(M474:M491)</f>
        <v>4041491.4000000004</v>
      </c>
      <c r="N492" s="17">
        <v>1</v>
      </c>
      <c r="P492" s="28"/>
      <c r="Q492" s="24"/>
      <c r="R492" s="24"/>
      <c r="S492" s="24"/>
    </row>
    <row r="493" spans="1:19" ht="15" customHeight="1" x14ac:dyDescent="0.25">
      <c r="A493" s="71" t="s">
        <v>458</v>
      </c>
      <c r="B493" s="13" t="s">
        <v>459</v>
      </c>
      <c r="C493" s="63" t="s">
        <v>88</v>
      </c>
      <c r="D493" s="2">
        <v>1</v>
      </c>
      <c r="E493" s="2">
        <v>8000</v>
      </c>
      <c r="F493" s="48">
        <f>E493/271.4</f>
        <v>29.47678703021371</v>
      </c>
      <c r="G493" s="48">
        <v>491096.43999999994</v>
      </c>
      <c r="H493" s="48">
        <f>G493/16140.24</f>
        <v>30.426836280005748</v>
      </c>
      <c r="I493" s="48">
        <v>386709.22319999995</v>
      </c>
      <c r="J493" s="48">
        <f>I493/10665.61</f>
        <v>36.257581441661557</v>
      </c>
      <c r="K493" s="2">
        <v>0</v>
      </c>
      <c r="L493" s="2">
        <v>0</v>
      </c>
      <c r="M493" s="48">
        <v>105626.7</v>
      </c>
      <c r="N493" s="48">
        <f>M493/5488.55</f>
        <v>19.244918967669054</v>
      </c>
      <c r="P493" s="24"/>
      <c r="Q493" s="24"/>
      <c r="R493" s="24"/>
      <c r="S493" s="24"/>
    </row>
    <row r="494" spans="1:19" x14ac:dyDescent="0.25">
      <c r="A494" s="71"/>
      <c r="B494" s="13" t="s">
        <v>460</v>
      </c>
      <c r="C494" s="63"/>
      <c r="D494" s="2">
        <v>1</v>
      </c>
      <c r="E494" s="2">
        <v>0</v>
      </c>
      <c r="F494" s="48">
        <f t="shared" ref="F494:F497" si="165">E494/271.4</f>
        <v>0</v>
      </c>
      <c r="G494" s="48">
        <v>263755</v>
      </c>
      <c r="H494" s="48">
        <f t="shared" ref="H494:H497" si="166">G494/16140.24</f>
        <v>16.341454649992812</v>
      </c>
      <c r="I494" s="48">
        <v>209382.9</v>
      </c>
      <c r="J494" s="48">
        <f t="shared" ref="J494:J497" si="167">I494/10665.61</f>
        <v>19.631591629545799</v>
      </c>
      <c r="K494" s="2">
        <v>0</v>
      </c>
      <c r="L494" s="2">
        <v>0</v>
      </c>
      <c r="M494" s="48">
        <v>155079.9</v>
      </c>
      <c r="N494" s="48">
        <f t="shared" ref="N494:N497" si="168">M494/5488.55</f>
        <v>28.255167576135772</v>
      </c>
      <c r="P494" s="24"/>
      <c r="Q494" s="24"/>
      <c r="R494" s="24"/>
      <c r="S494" s="24"/>
    </row>
    <row r="495" spans="1:19" x14ac:dyDescent="0.25">
      <c r="A495" s="71"/>
      <c r="B495" s="13" t="s">
        <v>461</v>
      </c>
      <c r="C495" s="63"/>
      <c r="D495" s="2">
        <v>1</v>
      </c>
      <c r="E495" s="2">
        <v>7540</v>
      </c>
      <c r="F495" s="48">
        <f t="shared" si="165"/>
        <v>27.78187177597642</v>
      </c>
      <c r="G495" s="48">
        <v>248366.43999999997</v>
      </c>
      <c r="H495" s="48">
        <f t="shared" si="166"/>
        <v>15.388026448181686</v>
      </c>
      <c r="I495" s="48">
        <v>0</v>
      </c>
      <c r="J495" s="48">
        <f t="shared" si="167"/>
        <v>0</v>
      </c>
      <c r="K495" s="2">
        <v>0</v>
      </c>
      <c r="L495" s="2">
        <v>0</v>
      </c>
      <c r="M495" s="48">
        <v>76798.37999999999</v>
      </c>
      <c r="N495" s="48">
        <f t="shared" si="168"/>
        <v>13.992471599967201</v>
      </c>
      <c r="P495" s="24"/>
      <c r="Q495" s="24"/>
      <c r="R495" s="24"/>
      <c r="S495" s="24"/>
    </row>
    <row r="496" spans="1:19" x14ac:dyDescent="0.25">
      <c r="A496" s="71"/>
      <c r="B496" s="13" t="s">
        <v>462</v>
      </c>
      <c r="C496" s="63"/>
      <c r="D496" s="2">
        <v>1</v>
      </c>
      <c r="E496" s="2">
        <v>6500</v>
      </c>
      <c r="F496" s="48">
        <f t="shared" si="165"/>
        <v>23.949889462048638</v>
      </c>
      <c r="G496" s="48">
        <v>213557.15999999997</v>
      </c>
      <c r="H496" s="48">
        <f t="shared" si="166"/>
        <v>13.231349719706769</v>
      </c>
      <c r="I496" s="48">
        <v>163594.58479999998</v>
      </c>
      <c r="J496" s="48">
        <f t="shared" si="167"/>
        <v>15.338511796324822</v>
      </c>
      <c r="K496" s="2">
        <v>0</v>
      </c>
      <c r="L496" s="2">
        <v>0</v>
      </c>
      <c r="M496" s="48">
        <v>79070.399999999994</v>
      </c>
      <c r="N496" s="48">
        <f t="shared" si="168"/>
        <v>14.406427927230324</v>
      </c>
      <c r="P496" s="24"/>
      <c r="Q496" s="24"/>
      <c r="R496" s="24"/>
      <c r="S496" s="24"/>
    </row>
    <row r="497" spans="1:19" x14ac:dyDescent="0.25">
      <c r="A497" s="71"/>
      <c r="B497" s="13" t="s">
        <v>463</v>
      </c>
      <c r="C497" s="63"/>
      <c r="D497" s="2">
        <v>1</v>
      </c>
      <c r="E497" s="2">
        <v>5100</v>
      </c>
      <c r="F497" s="48">
        <f t="shared" si="165"/>
        <v>18.791451731761239</v>
      </c>
      <c r="G497" s="48">
        <v>397248.95999999996</v>
      </c>
      <c r="H497" s="48">
        <f t="shared" si="166"/>
        <v>24.612332902112978</v>
      </c>
      <c r="I497" s="48">
        <v>306874.1888</v>
      </c>
      <c r="J497" s="48">
        <f t="shared" si="167"/>
        <v>28.772305456509283</v>
      </c>
      <c r="K497" s="2">
        <v>0</v>
      </c>
      <c r="L497" s="2">
        <v>0</v>
      </c>
      <c r="M497" s="48">
        <v>132279.89999999997</v>
      </c>
      <c r="N497" s="48">
        <f t="shared" si="168"/>
        <v>24.10106494429311</v>
      </c>
      <c r="P497" s="24"/>
      <c r="Q497" s="24"/>
      <c r="R497" s="24"/>
      <c r="S497" s="24"/>
    </row>
    <row r="498" spans="1:19" ht="15.75" x14ac:dyDescent="0.25">
      <c r="A498" s="3"/>
      <c r="B498" s="14"/>
      <c r="C498" s="3"/>
      <c r="D498" s="3">
        <v>5</v>
      </c>
      <c r="E498" s="21">
        <f>SUM(E493:E497)</f>
        <v>27140</v>
      </c>
      <c r="F498" s="17">
        <v>1</v>
      </c>
      <c r="G498" s="21">
        <f>SUM(G493:G497)</f>
        <v>1614023.9999999998</v>
      </c>
      <c r="H498" s="17">
        <v>1</v>
      </c>
      <c r="I498" s="21">
        <f>SUM(I493:I497)</f>
        <v>1066560.8967999998</v>
      </c>
      <c r="J498" s="17">
        <v>1</v>
      </c>
      <c r="K498" s="21">
        <v>0</v>
      </c>
      <c r="L498" s="17">
        <v>1</v>
      </c>
      <c r="M498" s="21">
        <f>SUM(M493:M497)</f>
        <v>548855.28</v>
      </c>
      <c r="N498" s="17">
        <v>1</v>
      </c>
      <c r="P498" s="28"/>
      <c r="Q498" s="24"/>
      <c r="R498" s="24"/>
      <c r="S498" s="24"/>
    </row>
    <row r="499" spans="1:19" x14ac:dyDescent="0.25">
      <c r="A499" s="62" t="s">
        <v>464</v>
      </c>
      <c r="B499" s="13" t="s">
        <v>465</v>
      </c>
      <c r="C499" s="63" t="s">
        <v>88</v>
      </c>
      <c r="D499" s="2">
        <v>1</v>
      </c>
      <c r="E499" s="2">
        <v>3600</v>
      </c>
      <c r="F499" s="48">
        <f>E499/78.7</f>
        <v>45.743329097839897</v>
      </c>
      <c r="G499" s="2">
        <v>227375</v>
      </c>
      <c r="H499" s="48">
        <f>G499/10489.44</f>
        <v>21.676562333165545</v>
      </c>
      <c r="I499" s="2">
        <v>133627</v>
      </c>
      <c r="J499" s="48">
        <f>I499/6758.28</f>
        <v>19.77233852400315</v>
      </c>
      <c r="K499" s="2">
        <v>0</v>
      </c>
      <c r="L499" s="2">
        <v>0</v>
      </c>
      <c r="M499" s="25">
        <v>92655</v>
      </c>
      <c r="N499" s="48">
        <f>M499/3454.17</f>
        <v>26.824099566610791</v>
      </c>
      <c r="P499" s="24"/>
      <c r="Q499" s="24"/>
      <c r="R499" s="24"/>
      <c r="S499" s="24"/>
    </row>
    <row r="500" spans="1:19" x14ac:dyDescent="0.25">
      <c r="A500" s="62"/>
      <c r="B500" s="13" t="s">
        <v>466</v>
      </c>
      <c r="C500" s="63"/>
      <c r="D500" s="2">
        <v>1</v>
      </c>
      <c r="E500" s="2">
        <v>790</v>
      </c>
      <c r="F500" s="48">
        <f t="shared" ref="F500:F502" si="169">E500/78.7</f>
        <v>10.038119440914866</v>
      </c>
      <c r="G500" s="2">
        <v>423359</v>
      </c>
      <c r="H500" s="48">
        <f t="shared" ref="H500:H502" si="170">G500/10489.44</f>
        <v>40.360495889199044</v>
      </c>
      <c r="I500" s="2">
        <v>304627</v>
      </c>
      <c r="J500" s="48">
        <f t="shared" ref="J500:J502" si="171">I500/6758.28</f>
        <v>45.07463437442663</v>
      </c>
      <c r="K500" s="2">
        <v>0</v>
      </c>
      <c r="L500" s="2">
        <v>0</v>
      </c>
      <c r="M500" s="25">
        <v>116034.99999999999</v>
      </c>
      <c r="N500" s="48">
        <f t="shared" ref="N500:N502" si="172">M500/3454.17</f>
        <v>33.5927299467021</v>
      </c>
      <c r="P500" s="24"/>
      <c r="Q500" s="24"/>
      <c r="R500" s="24"/>
      <c r="S500" s="24"/>
    </row>
    <row r="501" spans="1:19" x14ac:dyDescent="0.25">
      <c r="A501" s="62"/>
      <c r="B501" s="13" t="s">
        <v>467</v>
      </c>
      <c r="C501" s="63"/>
      <c r="D501" s="2">
        <v>1</v>
      </c>
      <c r="E501" s="2">
        <v>1500</v>
      </c>
      <c r="F501" s="48">
        <f t="shared" si="169"/>
        <v>19.05972045743329</v>
      </c>
      <c r="G501" s="2">
        <v>184101</v>
      </c>
      <c r="H501" s="48">
        <f t="shared" si="170"/>
        <v>17.551079943257218</v>
      </c>
      <c r="I501" s="2">
        <v>113886</v>
      </c>
      <c r="J501" s="48">
        <f t="shared" si="171"/>
        <v>16.85132903638204</v>
      </c>
      <c r="K501" s="2">
        <v>0</v>
      </c>
      <c r="L501" s="2">
        <v>0</v>
      </c>
      <c r="M501" s="25">
        <v>67367</v>
      </c>
      <c r="N501" s="48">
        <f t="shared" si="172"/>
        <v>19.50309336251545</v>
      </c>
      <c r="P501" s="24"/>
      <c r="Q501" s="24"/>
      <c r="R501" s="24"/>
      <c r="S501" s="24"/>
    </row>
    <row r="502" spans="1:19" x14ac:dyDescent="0.25">
      <c r="A502" s="62"/>
      <c r="B502" s="13" t="s">
        <v>468</v>
      </c>
      <c r="C502" s="63"/>
      <c r="D502" s="2">
        <v>1</v>
      </c>
      <c r="E502" s="47">
        <v>1980</v>
      </c>
      <c r="F502" s="48">
        <f t="shared" si="169"/>
        <v>25.158831003811944</v>
      </c>
      <c r="G502" s="47">
        <v>214109</v>
      </c>
      <c r="H502" s="48">
        <f t="shared" si="170"/>
        <v>20.411861834378193</v>
      </c>
      <c r="I502" s="47">
        <v>123688</v>
      </c>
      <c r="J502" s="48">
        <f t="shared" si="171"/>
        <v>18.301698065188184</v>
      </c>
      <c r="K502" s="47">
        <v>0</v>
      </c>
      <c r="L502" s="47">
        <v>0</v>
      </c>
      <c r="M502" s="47">
        <v>69360</v>
      </c>
      <c r="N502" s="48">
        <f t="shared" si="172"/>
        <v>20.080077124171652</v>
      </c>
      <c r="P502" s="24"/>
      <c r="Q502" s="24"/>
      <c r="R502" s="24"/>
      <c r="S502" s="24"/>
    </row>
    <row r="503" spans="1:19" ht="15.75" x14ac:dyDescent="0.25">
      <c r="A503" s="3"/>
      <c r="B503" s="14"/>
      <c r="C503" s="3"/>
      <c r="D503" s="3">
        <v>4</v>
      </c>
      <c r="E503" s="21">
        <f>SUM(E499:E502)</f>
        <v>7870</v>
      </c>
      <c r="F503" s="17">
        <v>1</v>
      </c>
      <c r="G503" s="21">
        <f>SUM(G499:G502)</f>
        <v>1048944</v>
      </c>
      <c r="H503" s="17">
        <v>1</v>
      </c>
      <c r="I503" s="21">
        <f>SUM(I499:I502)</f>
        <v>675828</v>
      </c>
      <c r="J503" s="17">
        <v>1</v>
      </c>
      <c r="K503" s="21">
        <f>SUM(K499:K502)</f>
        <v>0</v>
      </c>
      <c r="L503" s="17">
        <v>1</v>
      </c>
      <c r="M503" s="21">
        <f>SUM(M499:M502)</f>
        <v>345417</v>
      </c>
      <c r="N503" s="17">
        <v>1</v>
      </c>
      <c r="P503" s="28"/>
      <c r="Q503" s="24"/>
      <c r="R503" s="24"/>
      <c r="S503" s="24"/>
    </row>
    <row r="504" spans="1:19" x14ac:dyDescent="0.25">
      <c r="A504" s="62" t="s">
        <v>469</v>
      </c>
      <c r="B504" s="13" t="s">
        <v>470</v>
      </c>
      <c r="C504" s="63" t="s">
        <v>88</v>
      </c>
      <c r="D504" s="2">
        <v>1</v>
      </c>
      <c r="E504" s="2">
        <v>9000</v>
      </c>
      <c r="F504" s="48">
        <f>E504/398.8</f>
        <v>22.567703109327983</v>
      </c>
      <c r="G504" s="2">
        <v>79240</v>
      </c>
      <c r="H504" s="48">
        <f>G504/9491.73</f>
        <v>8.3483200638871953</v>
      </c>
      <c r="I504" s="2">
        <v>156900</v>
      </c>
      <c r="J504" s="48">
        <f>I504/7503.02</f>
        <v>20.911579603946144</v>
      </c>
      <c r="K504" s="2">
        <v>0</v>
      </c>
      <c r="L504" s="2">
        <v>0</v>
      </c>
      <c r="M504" s="48">
        <v>76700</v>
      </c>
      <c r="N504" s="48">
        <f>M504/4121.68</f>
        <v>18.608916752392226</v>
      </c>
      <c r="P504" s="24"/>
      <c r="Q504" s="24"/>
      <c r="R504" s="24"/>
      <c r="S504" s="24"/>
    </row>
    <row r="505" spans="1:19" x14ac:dyDescent="0.25">
      <c r="A505" s="62"/>
      <c r="B505" s="13" t="s">
        <v>471</v>
      </c>
      <c r="C505" s="63"/>
      <c r="D505" s="2">
        <v>1</v>
      </c>
      <c r="E505" s="2">
        <v>6700</v>
      </c>
      <c r="F505" s="48">
        <f t="shared" ref="F505:F507" si="173">E505/398.8</f>
        <v>16.800401203610832</v>
      </c>
      <c r="G505" s="47">
        <v>223500</v>
      </c>
      <c r="H505" s="48">
        <f t="shared" ref="H505:H508" si="174">G505/9491.73</f>
        <v>23.54681391063589</v>
      </c>
      <c r="I505" s="2">
        <v>68990</v>
      </c>
      <c r="J505" s="48">
        <f t="shared" ref="J505:J508" si="175">I505/7503.02</f>
        <v>9.194964161097797</v>
      </c>
      <c r="K505" s="2">
        <v>0</v>
      </c>
      <c r="L505" s="2">
        <v>0</v>
      </c>
      <c r="M505" s="48">
        <v>21798.38</v>
      </c>
      <c r="N505" s="48">
        <f t="shared" ref="N505:N508" si="176">M505/4121.68</f>
        <v>5.2887123697133207</v>
      </c>
      <c r="P505" s="24"/>
      <c r="Q505" s="24"/>
      <c r="R505" s="24"/>
      <c r="S505" s="24"/>
    </row>
    <row r="506" spans="1:19" x14ac:dyDescent="0.25">
      <c r="A506" s="62"/>
      <c r="B506" s="13" t="s">
        <v>472</v>
      </c>
      <c r="C506" s="63"/>
      <c r="D506" s="2">
        <v>1</v>
      </c>
      <c r="E506" s="2">
        <v>7540</v>
      </c>
      <c r="F506" s="48">
        <f t="shared" si="173"/>
        <v>18.906720160481445</v>
      </c>
      <c r="G506" s="2">
        <v>245630</v>
      </c>
      <c r="H506" s="48">
        <f t="shared" si="174"/>
        <v>25.878317229841137</v>
      </c>
      <c r="I506" s="2">
        <v>180097</v>
      </c>
      <c r="J506" s="48">
        <f t="shared" si="175"/>
        <v>24.003268017411653</v>
      </c>
      <c r="K506" s="2">
        <v>0</v>
      </c>
      <c r="L506" s="2">
        <v>0</v>
      </c>
      <c r="M506" s="47">
        <v>106035</v>
      </c>
      <c r="N506" s="48">
        <f t="shared" si="176"/>
        <v>25.726160206517729</v>
      </c>
      <c r="P506" s="24"/>
      <c r="Q506" s="24"/>
      <c r="R506" s="24"/>
      <c r="S506" s="24"/>
    </row>
    <row r="507" spans="1:19" x14ac:dyDescent="0.25">
      <c r="A507" s="62"/>
      <c r="B507" s="13" t="s">
        <v>473</v>
      </c>
      <c r="C507" s="63"/>
      <c r="D507" s="2">
        <v>2</v>
      </c>
      <c r="E507" s="2">
        <v>12540</v>
      </c>
      <c r="F507" s="48">
        <f t="shared" si="173"/>
        <v>31.444332998996991</v>
      </c>
      <c r="G507" s="47">
        <v>350003</v>
      </c>
      <c r="H507" s="48">
        <f t="shared" si="174"/>
        <v>36.874521293799972</v>
      </c>
      <c r="I507" s="2">
        <v>225065</v>
      </c>
      <c r="J507" s="48">
        <f t="shared" si="175"/>
        <v>29.996588040549003</v>
      </c>
      <c r="K507" s="2">
        <v>0</v>
      </c>
      <c r="L507" s="2">
        <v>0</v>
      </c>
      <c r="M507" s="47">
        <v>207635</v>
      </c>
      <c r="N507" s="48">
        <f t="shared" si="176"/>
        <v>50.37630286679218</v>
      </c>
      <c r="P507" s="24"/>
      <c r="Q507" s="24"/>
      <c r="R507" s="24"/>
      <c r="S507" s="24"/>
    </row>
    <row r="508" spans="1:19" x14ac:dyDescent="0.25">
      <c r="A508" s="62"/>
      <c r="B508" s="13" t="s">
        <v>474</v>
      </c>
      <c r="C508" s="63"/>
      <c r="D508" s="2">
        <v>1</v>
      </c>
      <c r="E508" s="2">
        <v>4100</v>
      </c>
      <c r="F508" s="48">
        <f>E508/398.8</f>
        <v>10.280842527582747</v>
      </c>
      <c r="G508" s="2">
        <v>50800</v>
      </c>
      <c r="H508" s="48">
        <f t="shared" si="174"/>
        <v>5.352027501835809</v>
      </c>
      <c r="I508" s="2">
        <v>119250</v>
      </c>
      <c r="J508" s="48">
        <f t="shared" si="175"/>
        <v>15.893600176995395</v>
      </c>
      <c r="K508" s="2">
        <v>0</v>
      </c>
      <c r="L508" s="2">
        <v>0</v>
      </c>
      <c r="M508" s="25">
        <v>0</v>
      </c>
      <c r="N508" s="48">
        <f t="shared" si="176"/>
        <v>0</v>
      </c>
      <c r="P508" s="24"/>
      <c r="Q508" s="24"/>
      <c r="R508" s="24"/>
      <c r="S508" s="24"/>
    </row>
    <row r="509" spans="1:19" ht="15.75" x14ac:dyDescent="0.25">
      <c r="A509" s="3"/>
      <c r="B509" s="14"/>
      <c r="C509" s="3"/>
      <c r="D509" s="3">
        <v>6</v>
      </c>
      <c r="E509" s="21">
        <f>SUM(E504:E508)</f>
        <v>39880</v>
      </c>
      <c r="F509" s="17">
        <v>1</v>
      </c>
      <c r="G509" s="21">
        <f>SUM(G504:G508)</f>
        <v>949173</v>
      </c>
      <c r="H509" s="17">
        <v>1</v>
      </c>
      <c r="I509" s="21">
        <f>SUM(I504:I508)</f>
        <v>750302</v>
      </c>
      <c r="J509" s="17">
        <v>1</v>
      </c>
      <c r="K509" s="21">
        <f>SUM(K504:K508)</f>
        <v>0</v>
      </c>
      <c r="L509" s="17">
        <v>1</v>
      </c>
      <c r="M509" s="50">
        <f>SUM(M504:M508)</f>
        <v>412168.38</v>
      </c>
      <c r="N509" s="17">
        <v>1</v>
      </c>
      <c r="P509" s="28"/>
      <c r="Q509" s="24"/>
      <c r="R509" s="24"/>
      <c r="S509" s="24"/>
    </row>
    <row r="510" spans="1:19" x14ac:dyDescent="0.25">
      <c r="A510" s="62" t="s">
        <v>475</v>
      </c>
      <c r="B510" s="13" t="s">
        <v>476</v>
      </c>
      <c r="C510" s="63" t="s">
        <v>88</v>
      </c>
      <c r="D510" s="2">
        <v>1</v>
      </c>
      <c r="E510" s="2">
        <v>4500</v>
      </c>
      <c r="F510" s="48">
        <f>E510/183.5</f>
        <v>24.52316076294278</v>
      </c>
      <c r="G510" s="2">
        <v>172984</v>
      </c>
      <c r="H510" s="48">
        <f>G510/9256.43</f>
        <v>18.68798229987155</v>
      </c>
      <c r="I510" s="2">
        <v>89960</v>
      </c>
      <c r="J510" s="48">
        <f>I510/8039.73</f>
        <v>11.189430490824941</v>
      </c>
      <c r="K510" s="2">
        <v>0</v>
      </c>
      <c r="L510" s="2">
        <v>0</v>
      </c>
      <c r="M510" s="25">
        <v>53222</v>
      </c>
      <c r="N510" s="48">
        <f>M510/2973.65</f>
        <v>17.897869621508921</v>
      </c>
      <c r="P510" s="24"/>
      <c r="Q510" s="24"/>
      <c r="R510" s="24"/>
      <c r="S510" s="24"/>
    </row>
    <row r="511" spans="1:19" x14ac:dyDescent="0.25">
      <c r="A511" s="62"/>
      <c r="B511" s="13" t="s">
        <v>477</v>
      </c>
      <c r="C511" s="63"/>
      <c r="D511" s="2">
        <v>1</v>
      </c>
      <c r="E511" s="2">
        <v>6800</v>
      </c>
      <c r="F511" s="48">
        <f t="shared" ref="F511:F514" si="177">E511/183.5</f>
        <v>37.057220708446863</v>
      </c>
      <c r="G511" s="2">
        <v>152040</v>
      </c>
      <c r="H511" s="48">
        <f t="shared" ref="H511:H514" si="178">G511/9256.43</f>
        <v>16.4253389265624</v>
      </c>
      <c r="I511" s="2">
        <v>14500</v>
      </c>
      <c r="J511" s="48">
        <f t="shared" ref="J511:J514" si="179">I511/8039.73</f>
        <v>1.8035431538123794</v>
      </c>
      <c r="K511" s="2">
        <v>0</v>
      </c>
      <c r="L511" s="2">
        <v>0</v>
      </c>
      <c r="M511" s="25">
        <v>21422</v>
      </c>
      <c r="N511" s="48">
        <f t="shared" ref="N511:N514" si="180">M511/2973.65</f>
        <v>7.203941284280261</v>
      </c>
      <c r="P511" s="24"/>
      <c r="Q511" s="24"/>
      <c r="R511" s="24"/>
      <c r="S511" s="24"/>
    </row>
    <row r="512" spans="1:19" x14ac:dyDescent="0.25">
      <c r="A512" s="62"/>
      <c r="B512" s="13" t="s">
        <v>478</v>
      </c>
      <c r="C512" s="63"/>
      <c r="D512" s="2">
        <v>1</v>
      </c>
      <c r="E512" s="2">
        <v>0</v>
      </c>
      <c r="F512" s="48">
        <f t="shared" si="177"/>
        <v>0</v>
      </c>
      <c r="G512" s="2">
        <v>192939</v>
      </c>
      <c r="H512" s="48">
        <f t="shared" si="178"/>
        <v>20.843781025730223</v>
      </c>
      <c r="I512" s="2">
        <v>370000</v>
      </c>
      <c r="J512" s="48">
        <f t="shared" si="179"/>
        <v>46.021445993833126</v>
      </c>
      <c r="K512" s="2">
        <v>0</v>
      </c>
      <c r="L512" s="2">
        <v>0</v>
      </c>
      <c r="M512" s="25">
        <v>95622</v>
      </c>
      <c r="N512" s="48">
        <f t="shared" si="180"/>
        <v>32.156440737813796</v>
      </c>
      <c r="P512" s="24"/>
      <c r="Q512" s="24"/>
      <c r="R512" s="24"/>
      <c r="S512" s="24"/>
    </row>
    <row r="513" spans="1:19" x14ac:dyDescent="0.25">
      <c r="A513" s="62"/>
      <c r="B513" s="13" t="s">
        <v>479</v>
      </c>
      <c r="C513" s="63"/>
      <c r="D513" s="2">
        <v>1</v>
      </c>
      <c r="E513" s="2">
        <v>0</v>
      </c>
      <c r="F513" s="48">
        <f t="shared" si="177"/>
        <v>0</v>
      </c>
      <c r="G513" s="2">
        <v>166880</v>
      </c>
      <c r="H513" s="48">
        <f t="shared" si="178"/>
        <v>18.02854880337236</v>
      </c>
      <c r="I513" s="2">
        <v>127623</v>
      </c>
      <c r="J513" s="48">
        <f t="shared" si="179"/>
        <v>15.874040546137744</v>
      </c>
      <c r="K513" s="2">
        <v>0</v>
      </c>
      <c r="L513" s="2">
        <v>0</v>
      </c>
      <c r="M513" s="25">
        <v>48566</v>
      </c>
      <c r="N513" s="48">
        <f t="shared" si="180"/>
        <v>16.332117095152423</v>
      </c>
      <c r="P513" s="24"/>
      <c r="Q513" s="24"/>
      <c r="R513" s="24"/>
      <c r="S513" s="24"/>
    </row>
    <row r="514" spans="1:19" x14ac:dyDescent="0.25">
      <c r="A514" s="62"/>
      <c r="B514" s="13" t="s">
        <v>480</v>
      </c>
      <c r="C514" s="63"/>
      <c r="D514" s="2">
        <v>1</v>
      </c>
      <c r="E514" s="2">
        <v>7050</v>
      </c>
      <c r="F514" s="48">
        <f t="shared" si="177"/>
        <v>38.419618528610357</v>
      </c>
      <c r="G514" s="2">
        <v>240799.99999999997</v>
      </c>
      <c r="H514" s="48">
        <f t="shared" si="178"/>
        <v>26.014348944463467</v>
      </c>
      <c r="I514" s="2">
        <v>201890</v>
      </c>
      <c r="J514" s="48">
        <f t="shared" si="179"/>
        <v>25.111539815391811</v>
      </c>
      <c r="K514" s="2">
        <v>0</v>
      </c>
      <c r="L514" s="2">
        <v>0</v>
      </c>
      <c r="M514" s="25">
        <v>78533</v>
      </c>
      <c r="N514" s="48">
        <f t="shared" si="180"/>
        <v>26.409631261244598</v>
      </c>
      <c r="P514" s="24"/>
      <c r="Q514" s="24"/>
      <c r="R514" s="24"/>
      <c r="S514" s="24"/>
    </row>
    <row r="515" spans="1:19" ht="15.75" x14ac:dyDescent="0.25">
      <c r="A515" s="3"/>
      <c r="B515" s="14"/>
      <c r="C515" s="3"/>
      <c r="D515" s="3"/>
      <c r="E515" s="21">
        <f>SUM(E510:E514)</f>
        <v>18350</v>
      </c>
      <c r="F515" s="17">
        <v>1</v>
      </c>
      <c r="G515" s="21">
        <f>SUM(G510:G514)</f>
        <v>925643</v>
      </c>
      <c r="H515" s="17">
        <v>1</v>
      </c>
      <c r="I515" s="21">
        <f>SUM(I510:I514)</f>
        <v>803973</v>
      </c>
      <c r="J515" s="17">
        <v>1</v>
      </c>
      <c r="K515" s="3">
        <v>0</v>
      </c>
      <c r="L515" s="17">
        <v>1</v>
      </c>
      <c r="M515" s="21">
        <f>SUM(M510:M514)</f>
        <v>297365</v>
      </c>
      <c r="N515" s="17">
        <v>1</v>
      </c>
      <c r="P515" s="28"/>
      <c r="Q515" s="24"/>
      <c r="R515" s="24"/>
      <c r="S515" s="24"/>
    </row>
    <row r="516" spans="1:19" x14ac:dyDescent="0.25">
      <c r="A516" s="62" t="s">
        <v>489</v>
      </c>
      <c r="B516" s="13" t="s">
        <v>482</v>
      </c>
      <c r="C516" s="63" t="s">
        <v>88</v>
      </c>
      <c r="D516" s="2">
        <v>2</v>
      </c>
      <c r="E516" s="2">
        <v>6500</v>
      </c>
      <c r="F516" s="48">
        <f>E516/278.99</f>
        <v>23.29832610487831</v>
      </c>
      <c r="G516" s="2">
        <v>268400</v>
      </c>
      <c r="H516" s="48">
        <f>G516/17994.01</f>
        <v>14.916074849352647</v>
      </c>
      <c r="I516" s="2">
        <v>149605</v>
      </c>
      <c r="J516" s="48">
        <f>I516/9060.4</f>
        <v>16.511964151693082</v>
      </c>
      <c r="K516" s="49">
        <v>9635</v>
      </c>
      <c r="L516" s="48">
        <f>K516/281.4</f>
        <v>34.239516702203275</v>
      </c>
      <c r="M516" s="48">
        <v>56413.599999999999</v>
      </c>
      <c r="N516" s="48">
        <f>M516/3984.73</f>
        <v>14.157446050297008</v>
      </c>
      <c r="P516" s="24"/>
      <c r="Q516" s="24"/>
      <c r="R516" s="24"/>
      <c r="S516" s="24"/>
    </row>
    <row r="517" spans="1:19" x14ac:dyDescent="0.25">
      <c r="A517" s="62"/>
      <c r="B517" s="13" t="s">
        <v>483</v>
      </c>
      <c r="C517" s="63"/>
      <c r="D517" s="2">
        <v>1</v>
      </c>
      <c r="E517" s="2">
        <v>0</v>
      </c>
      <c r="F517" s="48">
        <f t="shared" ref="F517:F526" si="181">E517/278.99</f>
        <v>0</v>
      </c>
      <c r="G517" s="2">
        <v>144830</v>
      </c>
      <c r="H517" s="48">
        <f t="shared" ref="H517:H526" si="182">G517/17994.01</f>
        <v>8.0487895694178242</v>
      </c>
      <c r="I517" s="2">
        <v>48667.999999999993</v>
      </c>
      <c r="J517" s="48">
        <f t="shared" ref="J517:J526" si="183">I517/9060.4</f>
        <v>5.3715067767427485</v>
      </c>
      <c r="K517" s="2">
        <v>0</v>
      </c>
      <c r="L517" s="48">
        <f t="shared" ref="L517:L526" si="184">K517/281.4</f>
        <v>0</v>
      </c>
      <c r="M517" s="48">
        <v>28113.759999999998</v>
      </c>
      <c r="N517" s="48">
        <f t="shared" ref="N517:N526" si="185">M517/3984.73</f>
        <v>7.0553738898244038</v>
      </c>
      <c r="P517" s="24"/>
      <c r="Q517" s="24"/>
      <c r="R517" s="24"/>
      <c r="S517" s="24"/>
    </row>
    <row r="518" spans="1:19" x14ac:dyDescent="0.25">
      <c r="A518" s="62"/>
      <c r="B518" s="13" t="s">
        <v>484</v>
      </c>
      <c r="C518" s="63"/>
      <c r="D518" s="2">
        <v>1</v>
      </c>
      <c r="E518" s="2">
        <v>0</v>
      </c>
      <c r="F518" s="48">
        <f t="shared" si="181"/>
        <v>0</v>
      </c>
      <c r="G518" s="2">
        <v>127160.00000000001</v>
      </c>
      <c r="H518" s="48">
        <f t="shared" si="182"/>
        <v>7.0667961171523208</v>
      </c>
      <c r="I518" s="2">
        <v>35971.999999999993</v>
      </c>
      <c r="J518" s="48">
        <f t="shared" si="183"/>
        <v>3.9702441393315961</v>
      </c>
      <c r="K518" s="2">
        <v>0</v>
      </c>
      <c r="L518" s="48">
        <f t="shared" si="184"/>
        <v>0</v>
      </c>
      <c r="M518" s="48">
        <v>20051.039999999997</v>
      </c>
      <c r="N518" s="48">
        <f t="shared" si="185"/>
        <v>5.0319695437332008</v>
      </c>
      <c r="P518" s="24"/>
      <c r="Q518" s="24"/>
      <c r="R518" s="24"/>
      <c r="S518" s="24"/>
    </row>
    <row r="519" spans="1:19" x14ac:dyDescent="0.25">
      <c r="A519" s="62"/>
      <c r="B519" s="13" t="s">
        <v>319</v>
      </c>
      <c r="C519" s="63"/>
      <c r="D519" s="2">
        <v>1</v>
      </c>
      <c r="E519" s="2">
        <v>0</v>
      </c>
      <c r="F519" s="48">
        <f t="shared" si="181"/>
        <v>0</v>
      </c>
      <c r="G519" s="2">
        <v>158400</v>
      </c>
      <c r="H519" s="48">
        <f t="shared" si="182"/>
        <v>8.802929419290086</v>
      </c>
      <c r="I519" s="2">
        <v>139992</v>
      </c>
      <c r="J519" s="48">
        <f t="shared" si="183"/>
        <v>15.450973466955102</v>
      </c>
      <c r="K519" s="2">
        <v>0</v>
      </c>
      <c r="L519" s="48">
        <f t="shared" si="184"/>
        <v>0</v>
      </c>
      <c r="M519" s="48">
        <v>58337.440000000002</v>
      </c>
      <c r="N519" s="48">
        <f t="shared" si="185"/>
        <v>14.640249151134457</v>
      </c>
      <c r="P519" s="24"/>
      <c r="Q519" s="24"/>
      <c r="R519" s="24"/>
      <c r="S519" s="24"/>
    </row>
    <row r="520" spans="1:19" x14ac:dyDescent="0.25">
      <c r="A520" s="62"/>
      <c r="B520" s="13" t="s">
        <v>485</v>
      </c>
      <c r="C520" s="63"/>
      <c r="D520" s="2">
        <v>2</v>
      </c>
      <c r="E520" s="2">
        <v>8000</v>
      </c>
      <c r="F520" s="48">
        <f t="shared" si="181"/>
        <v>28.674862898311765</v>
      </c>
      <c r="G520" s="2">
        <v>187440.00000000003</v>
      </c>
      <c r="H520" s="48">
        <f t="shared" si="182"/>
        <v>10.416799812826603</v>
      </c>
      <c r="I520" s="2">
        <v>95545</v>
      </c>
      <c r="J520" s="48">
        <f t="shared" si="183"/>
        <v>10.545340161582271</v>
      </c>
      <c r="K520" s="2">
        <v>4200</v>
      </c>
      <c r="L520" s="48">
        <f t="shared" si="184"/>
        <v>14.925373134328359</v>
      </c>
      <c r="M520" s="48">
        <v>41114.400000000001</v>
      </c>
      <c r="N520" s="48">
        <f t="shared" si="185"/>
        <v>10.317988922712455</v>
      </c>
      <c r="P520" s="24"/>
      <c r="Q520" s="24"/>
      <c r="R520" s="24"/>
      <c r="S520" s="24"/>
    </row>
    <row r="521" spans="1:19" x14ac:dyDescent="0.25">
      <c r="A521" s="62"/>
      <c r="B521" s="13" t="s">
        <v>481</v>
      </c>
      <c r="C521" s="63"/>
      <c r="D521" s="2">
        <v>1</v>
      </c>
      <c r="E521" s="2">
        <v>0</v>
      </c>
      <c r="F521" s="48">
        <f t="shared" si="181"/>
        <v>0</v>
      </c>
      <c r="G521" s="2">
        <v>118580.00000000001</v>
      </c>
      <c r="H521" s="48">
        <f t="shared" si="182"/>
        <v>6.5899707736074404</v>
      </c>
      <c r="I521" s="2">
        <v>36448</v>
      </c>
      <c r="J521" s="48">
        <f t="shared" si="183"/>
        <v>4.0227804511942082</v>
      </c>
      <c r="K521" s="2">
        <v>0</v>
      </c>
      <c r="L521" s="48">
        <f t="shared" si="184"/>
        <v>0</v>
      </c>
      <c r="M521" s="48">
        <v>20203.36</v>
      </c>
      <c r="N521" s="48">
        <f t="shared" si="185"/>
        <v>5.0701954712113491</v>
      </c>
      <c r="P521" s="24"/>
      <c r="Q521" s="24"/>
      <c r="R521" s="24"/>
      <c r="S521" s="24"/>
    </row>
    <row r="522" spans="1:19" x14ac:dyDescent="0.25">
      <c r="A522" s="62"/>
      <c r="B522" s="13" t="s">
        <v>486</v>
      </c>
      <c r="C522" s="63"/>
      <c r="D522" s="2">
        <v>1</v>
      </c>
      <c r="E522" s="2">
        <v>0</v>
      </c>
      <c r="F522" s="48">
        <f t="shared" si="181"/>
        <v>0</v>
      </c>
      <c r="G522" s="2">
        <v>149600</v>
      </c>
      <c r="H522" s="48">
        <f t="shared" si="182"/>
        <v>8.3138777848850811</v>
      </c>
      <c r="I522" s="2">
        <v>42346</v>
      </c>
      <c r="J522" s="48">
        <f t="shared" si="183"/>
        <v>4.6737450885170633</v>
      </c>
      <c r="K522" s="2">
        <v>0</v>
      </c>
      <c r="L522" s="48">
        <f t="shared" si="184"/>
        <v>0</v>
      </c>
      <c r="M522" s="48">
        <v>22090.720000000001</v>
      </c>
      <c r="N522" s="48">
        <f t="shared" si="185"/>
        <v>5.5438436230309209</v>
      </c>
      <c r="P522" s="24"/>
      <c r="Q522" s="24"/>
      <c r="R522" s="24"/>
      <c r="S522" s="24"/>
    </row>
    <row r="523" spans="1:19" x14ac:dyDescent="0.25">
      <c r="A523" s="62"/>
      <c r="B523" s="13" t="s">
        <v>487</v>
      </c>
      <c r="C523" s="63"/>
      <c r="D523" s="2">
        <v>2</v>
      </c>
      <c r="E523" s="2">
        <v>6899</v>
      </c>
      <c r="F523" s="48">
        <f t="shared" si="181"/>
        <v>24.728484891931611</v>
      </c>
      <c r="G523" s="2">
        <v>254540.00000000003</v>
      </c>
      <c r="H523" s="48">
        <f t="shared" si="182"/>
        <v>14.145818525164765</v>
      </c>
      <c r="I523" s="2">
        <v>112306</v>
      </c>
      <c r="J523" s="48">
        <f t="shared" si="183"/>
        <v>12.395258487483996</v>
      </c>
      <c r="K523" s="2">
        <v>8600</v>
      </c>
      <c r="L523" s="48">
        <f t="shared" si="184"/>
        <v>30.561478322672354</v>
      </c>
      <c r="M523" s="48">
        <v>44477.919999999998</v>
      </c>
      <c r="N523" s="48">
        <f t="shared" si="185"/>
        <v>11.162091283474664</v>
      </c>
      <c r="P523" s="24"/>
      <c r="Q523" s="24"/>
      <c r="R523" s="24"/>
      <c r="S523" s="24"/>
    </row>
    <row r="524" spans="1:19" x14ac:dyDescent="0.25">
      <c r="A524" s="62"/>
      <c r="B524" s="13" t="s">
        <v>250</v>
      </c>
      <c r="C524" s="63"/>
      <c r="D524" s="2">
        <v>1</v>
      </c>
      <c r="E524" s="2">
        <v>0</v>
      </c>
      <c r="F524" s="48">
        <f t="shared" si="181"/>
        <v>0</v>
      </c>
      <c r="G524" s="2">
        <v>173580</v>
      </c>
      <c r="H524" s="48">
        <f t="shared" si="182"/>
        <v>9.64654348863872</v>
      </c>
      <c r="I524" s="2">
        <v>124122</v>
      </c>
      <c r="J524" s="48">
        <f t="shared" si="183"/>
        <v>13.699395170191162</v>
      </c>
      <c r="K524" s="2">
        <v>0</v>
      </c>
      <c r="L524" s="48">
        <f t="shared" si="184"/>
        <v>0</v>
      </c>
      <c r="M524" s="48">
        <v>48259.040000000001</v>
      </c>
      <c r="N524" s="48">
        <f t="shared" si="185"/>
        <v>12.110993718520453</v>
      </c>
      <c r="P524" s="24"/>
      <c r="Q524" s="24"/>
      <c r="R524" s="24"/>
      <c r="S524" s="24"/>
    </row>
    <row r="525" spans="1:19" x14ac:dyDescent="0.25">
      <c r="A525" s="62"/>
      <c r="B525" s="13" t="s">
        <v>488</v>
      </c>
      <c r="C525" s="63"/>
      <c r="D525" s="2">
        <v>1</v>
      </c>
      <c r="E525" s="2">
        <v>0</v>
      </c>
      <c r="F525" s="48">
        <f t="shared" si="181"/>
        <v>0</v>
      </c>
      <c r="G525" s="2">
        <v>66123</v>
      </c>
      <c r="H525" s="48">
        <f t="shared" si="182"/>
        <v>3.6747228661093332</v>
      </c>
      <c r="I525" s="2">
        <v>41044</v>
      </c>
      <c r="J525" s="48">
        <f t="shared" si="183"/>
        <v>4.5300428237163928</v>
      </c>
      <c r="K525" s="2">
        <v>0</v>
      </c>
      <c r="L525" s="48">
        <f t="shared" si="184"/>
        <v>0</v>
      </c>
      <c r="M525" s="48">
        <v>21674.080000000002</v>
      </c>
      <c r="N525" s="48">
        <f t="shared" si="185"/>
        <v>5.4392844684583403</v>
      </c>
      <c r="P525" s="24"/>
      <c r="Q525" s="24"/>
      <c r="R525" s="24"/>
      <c r="S525" s="24"/>
    </row>
    <row r="526" spans="1:19" x14ac:dyDescent="0.25">
      <c r="A526" s="62"/>
      <c r="B526" s="13" t="s">
        <v>22</v>
      </c>
      <c r="C526" s="63"/>
      <c r="D526" s="2">
        <v>2</v>
      </c>
      <c r="E526" s="2">
        <v>6500</v>
      </c>
      <c r="F526" s="48">
        <f t="shared" si="181"/>
        <v>23.29832610487831</v>
      </c>
      <c r="G526" s="2">
        <v>150748</v>
      </c>
      <c r="H526" s="48">
        <f t="shared" si="182"/>
        <v>8.3776767935551888</v>
      </c>
      <c r="I526" s="2">
        <v>79992</v>
      </c>
      <c r="J526" s="48">
        <f t="shared" si="183"/>
        <v>8.8287492825923799</v>
      </c>
      <c r="K526" s="2">
        <v>5705</v>
      </c>
      <c r="L526" s="48">
        <f t="shared" si="184"/>
        <v>20.273631840796021</v>
      </c>
      <c r="M526" s="48">
        <v>38137.440000000002</v>
      </c>
      <c r="N526" s="48">
        <f t="shared" si="185"/>
        <v>9.5708968989115952</v>
      </c>
      <c r="P526" s="24"/>
      <c r="Q526" s="24"/>
      <c r="R526" s="24"/>
      <c r="S526" s="24"/>
    </row>
    <row r="527" spans="1:19" ht="15.75" x14ac:dyDescent="0.25">
      <c r="A527" s="3"/>
      <c r="B527" s="14"/>
      <c r="C527" s="3"/>
      <c r="D527" s="3">
        <f>SUM(D516:D526)</f>
        <v>15</v>
      </c>
      <c r="E527" s="21">
        <f>SUM(E516:E526)</f>
        <v>27899</v>
      </c>
      <c r="F527" s="17">
        <v>1</v>
      </c>
      <c r="G527" s="21">
        <f>SUM(G516:G526)</f>
        <v>1799401</v>
      </c>
      <c r="H527" s="17">
        <v>1</v>
      </c>
      <c r="I527" s="21">
        <f>SUM(I516:I526)</f>
        <v>906040</v>
      </c>
      <c r="J527" s="17">
        <v>1</v>
      </c>
      <c r="K527" s="21">
        <f>SUM(K516:K526)</f>
        <v>28140</v>
      </c>
      <c r="L527" s="17">
        <v>1</v>
      </c>
      <c r="M527" s="21">
        <f>SUM(M516:M526)</f>
        <v>398872.8</v>
      </c>
      <c r="N527" s="17">
        <v>1</v>
      </c>
      <c r="P527" s="28"/>
      <c r="Q527" s="24"/>
      <c r="R527" s="24"/>
      <c r="S527" s="24"/>
    </row>
    <row r="528" spans="1:19" x14ac:dyDescent="0.25">
      <c r="A528" s="62" t="s">
        <v>491</v>
      </c>
      <c r="B528" s="13" t="s">
        <v>116</v>
      </c>
      <c r="C528" s="63" t="s">
        <v>88</v>
      </c>
      <c r="D528" s="2">
        <v>1</v>
      </c>
      <c r="E528" s="2">
        <v>0</v>
      </c>
      <c r="F528" s="48">
        <f>E528/2063.24</f>
        <v>0</v>
      </c>
      <c r="G528" s="48">
        <v>1885972.5000000002</v>
      </c>
      <c r="H528" s="48">
        <f>G528/347850.16</f>
        <v>5.4217956950199486</v>
      </c>
      <c r="I528" s="48">
        <v>855662</v>
      </c>
      <c r="J528" s="48">
        <f>I528/178402.68</f>
        <v>4.7962396080596994</v>
      </c>
      <c r="K528" s="2">
        <v>18300</v>
      </c>
      <c r="L528" s="48">
        <f>K528/2341.12</f>
        <v>7.816771459814106</v>
      </c>
      <c r="M528" s="48">
        <v>540874.23999999999</v>
      </c>
      <c r="N528" s="48">
        <f>M528/64357.37</f>
        <v>8.4042315588719667</v>
      </c>
      <c r="P528" s="24"/>
      <c r="Q528" s="24"/>
      <c r="R528" s="24"/>
      <c r="S528" s="24"/>
    </row>
    <row r="529" spans="1:19" x14ac:dyDescent="0.25">
      <c r="A529" s="62"/>
      <c r="B529" s="13" t="s">
        <v>502</v>
      </c>
      <c r="C529" s="63"/>
      <c r="D529" s="2">
        <v>1</v>
      </c>
      <c r="E529" s="2">
        <v>8500</v>
      </c>
      <c r="F529" s="48">
        <f>E529/2063.24</f>
        <v>4.1197340105852938</v>
      </c>
      <c r="G529" s="48">
        <v>1478092.32</v>
      </c>
      <c r="H529" s="48">
        <f t="shared" ref="H529:H545" si="186">G529/347850.16</f>
        <v>4.2492213313916549</v>
      </c>
      <c r="I529" s="48">
        <v>993860</v>
      </c>
      <c r="J529" s="48">
        <f t="shared" ref="J529:J545" si="187">I529/178402.68</f>
        <v>5.5708804374463439</v>
      </c>
      <c r="K529" s="2">
        <v>15010</v>
      </c>
      <c r="L529" s="48">
        <f t="shared" ref="L529:L545" si="188">K529/2341.12</f>
        <v>6.4114611809732098</v>
      </c>
      <c r="M529" s="48">
        <v>263078.64</v>
      </c>
      <c r="N529" s="48">
        <f t="shared" ref="N529:N545" si="189">M529/64357.37</f>
        <v>4.0877779809833745</v>
      </c>
      <c r="P529" s="24"/>
      <c r="Q529" s="24"/>
      <c r="R529" s="24"/>
      <c r="S529" s="24"/>
    </row>
    <row r="530" spans="1:19" x14ac:dyDescent="0.25">
      <c r="A530" s="62"/>
      <c r="B530" s="13" t="s">
        <v>501</v>
      </c>
      <c r="C530" s="63"/>
      <c r="D530" s="2">
        <v>2</v>
      </c>
      <c r="E530" s="2">
        <v>0</v>
      </c>
      <c r="F530" s="48">
        <f t="shared" ref="F530:F545" si="190">E530/2063.24</f>
        <v>0</v>
      </c>
      <c r="G530" s="48">
        <v>3268436.9400000004</v>
      </c>
      <c r="H530" s="48">
        <f t="shared" si="186"/>
        <v>9.3961058980108003</v>
      </c>
      <c r="I530" s="48">
        <v>800792</v>
      </c>
      <c r="J530" s="48">
        <f t="shared" si="187"/>
        <v>4.4886769638213959</v>
      </c>
      <c r="K530" s="2">
        <v>0</v>
      </c>
      <c r="L530" s="48">
        <f t="shared" si="188"/>
        <v>0</v>
      </c>
      <c r="M530" s="48">
        <v>67142</v>
      </c>
      <c r="N530" s="48">
        <f t="shared" si="189"/>
        <v>1.0432682379655973</v>
      </c>
      <c r="P530" s="24"/>
      <c r="Q530" s="24"/>
      <c r="R530" s="24"/>
      <c r="S530" s="24"/>
    </row>
    <row r="531" spans="1:19" x14ac:dyDescent="0.25">
      <c r="A531" s="62"/>
      <c r="B531" s="13" t="s">
        <v>493</v>
      </c>
      <c r="C531" s="63"/>
      <c r="D531" s="2">
        <v>1</v>
      </c>
      <c r="E531" s="2">
        <v>13600</v>
      </c>
      <c r="F531" s="48">
        <f t="shared" si="190"/>
        <v>6.5915744169364698</v>
      </c>
      <c r="G531" s="48">
        <v>1244783.27</v>
      </c>
      <c r="H531" s="48">
        <f t="shared" si="186"/>
        <v>3.5785042329720365</v>
      </c>
      <c r="I531" s="48">
        <v>1240558</v>
      </c>
      <c r="J531" s="48">
        <f t="shared" si="187"/>
        <v>6.9536959870782216</v>
      </c>
      <c r="K531" s="2">
        <v>27600</v>
      </c>
      <c r="L531" s="48">
        <f t="shared" si="188"/>
        <v>11.789229086932751</v>
      </c>
      <c r="M531" s="48">
        <v>272023.03999999998</v>
      </c>
      <c r="N531" s="48">
        <f t="shared" si="189"/>
        <v>4.2267581785893356</v>
      </c>
      <c r="P531" s="24"/>
      <c r="Q531" s="24"/>
      <c r="R531" s="24"/>
      <c r="S531" s="24"/>
    </row>
    <row r="532" spans="1:19" x14ac:dyDescent="0.25">
      <c r="A532" s="62"/>
      <c r="B532" s="13" t="s">
        <v>118</v>
      </c>
      <c r="C532" s="63"/>
      <c r="D532" s="2">
        <v>1</v>
      </c>
      <c r="E532" s="2">
        <v>0</v>
      </c>
      <c r="F532" s="48">
        <f t="shared" si="190"/>
        <v>0</v>
      </c>
      <c r="G532" s="48">
        <v>745560</v>
      </c>
      <c r="H532" s="48">
        <f t="shared" si="186"/>
        <v>2.1433366596697843</v>
      </c>
      <c r="I532" s="48">
        <v>0</v>
      </c>
      <c r="J532" s="48">
        <f t="shared" si="187"/>
        <v>0</v>
      </c>
      <c r="K532" s="2">
        <v>0</v>
      </c>
      <c r="L532" s="48">
        <f t="shared" si="188"/>
        <v>0</v>
      </c>
      <c r="M532" s="48">
        <v>0</v>
      </c>
      <c r="N532" s="48">
        <f t="shared" si="189"/>
        <v>0</v>
      </c>
      <c r="P532" s="24"/>
      <c r="Q532" s="24"/>
      <c r="R532" s="24"/>
      <c r="S532" s="24"/>
    </row>
    <row r="533" spans="1:19" x14ac:dyDescent="0.25">
      <c r="A533" s="62"/>
      <c r="B533" s="13" t="s">
        <v>497</v>
      </c>
      <c r="C533" s="63"/>
      <c r="D533" s="2">
        <v>2</v>
      </c>
      <c r="E533" s="2">
        <v>12790</v>
      </c>
      <c r="F533" s="48">
        <f t="shared" si="190"/>
        <v>6.1989879994571648</v>
      </c>
      <c r="G533" s="48">
        <v>1635858.9200000002</v>
      </c>
      <c r="H533" s="48">
        <f t="shared" si="186"/>
        <v>4.7027689163632989</v>
      </c>
      <c r="I533" s="48">
        <v>934960</v>
      </c>
      <c r="J533" s="48">
        <f t="shared" si="187"/>
        <v>5.2407284464560737</v>
      </c>
      <c r="K533" s="2">
        <v>0</v>
      </c>
      <c r="L533" s="48">
        <f t="shared" si="188"/>
        <v>0</v>
      </c>
      <c r="M533" s="48">
        <v>383264</v>
      </c>
      <c r="N533" s="48">
        <f t="shared" si="189"/>
        <v>5.9552464620602112</v>
      </c>
      <c r="P533" s="24"/>
      <c r="Q533" s="24"/>
      <c r="R533" s="24"/>
      <c r="S533" s="24"/>
    </row>
    <row r="534" spans="1:19" x14ac:dyDescent="0.25">
      <c r="A534" s="62"/>
      <c r="B534" s="13" t="s">
        <v>498</v>
      </c>
      <c r="C534" s="63"/>
      <c r="D534" s="2">
        <v>1</v>
      </c>
      <c r="E534" s="2">
        <v>0</v>
      </c>
      <c r="F534" s="48">
        <f t="shared" si="190"/>
        <v>0</v>
      </c>
      <c r="G534" s="48">
        <v>2005632.7000000002</v>
      </c>
      <c r="H534" s="48">
        <f t="shared" si="186"/>
        <v>5.765794961830693</v>
      </c>
      <c r="I534" s="48">
        <v>1018043.72</v>
      </c>
      <c r="J534" s="48">
        <f t="shared" si="187"/>
        <v>5.7064373696628321</v>
      </c>
      <c r="K534" s="2">
        <v>19650</v>
      </c>
      <c r="L534" s="48">
        <f t="shared" si="188"/>
        <v>8.3934185347184265</v>
      </c>
      <c r="M534" s="48">
        <v>414889.18</v>
      </c>
      <c r="N534" s="48">
        <f t="shared" si="189"/>
        <v>6.4466459707722672</v>
      </c>
      <c r="P534" s="24"/>
      <c r="Q534" s="24"/>
      <c r="R534" s="24"/>
      <c r="S534" s="24"/>
    </row>
    <row r="535" spans="1:19" x14ac:dyDescent="0.25">
      <c r="A535" s="62"/>
      <c r="B535" s="13" t="s">
        <v>99</v>
      </c>
      <c r="C535" s="63"/>
      <c r="D535" s="2">
        <v>2</v>
      </c>
      <c r="E535" s="2">
        <v>78544</v>
      </c>
      <c r="F535" s="48">
        <f t="shared" si="190"/>
        <v>38.068280956166035</v>
      </c>
      <c r="G535" s="48">
        <v>2143485</v>
      </c>
      <c r="H535" s="48">
        <f t="shared" si="186"/>
        <v>6.1620928965506305</v>
      </c>
      <c r="I535" s="48">
        <v>1512948.8</v>
      </c>
      <c r="J535" s="48">
        <f t="shared" si="187"/>
        <v>8.4805273104641703</v>
      </c>
      <c r="K535" s="2">
        <v>0</v>
      </c>
      <c r="L535" s="48">
        <f t="shared" si="188"/>
        <v>0</v>
      </c>
      <c r="M535" s="48">
        <v>216232.63999999998</v>
      </c>
      <c r="N535" s="48">
        <f t="shared" si="189"/>
        <v>3.3598737798017533</v>
      </c>
      <c r="P535" s="24"/>
      <c r="Q535" s="24"/>
      <c r="R535" s="24"/>
      <c r="S535" s="24"/>
    </row>
    <row r="536" spans="1:19" x14ac:dyDescent="0.25">
      <c r="A536" s="62"/>
      <c r="B536" s="13" t="s">
        <v>492</v>
      </c>
      <c r="C536" s="63"/>
      <c r="D536" s="2">
        <v>1</v>
      </c>
      <c r="E536" s="2">
        <v>0</v>
      </c>
      <c r="F536" s="48">
        <f t="shared" si="190"/>
        <v>0</v>
      </c>
      <c r="G536" s="48">
        <v>1242683.9300000002</v>
      </c>
      <c r="H536" s="48">
        <f t="shared" si="186"/>
        <v>3.5724690481671773</v>
      </c>
      <c r="I536" s="48">
        <v>732592</v>
      </c>
      <c r="J536" s="48">
        <f t="shared" si="187"/>
        <v>4.1063957110958196</v>
      </c>
      <c r="K536" s="2">
        <v>0</v>
      </c>
      <c r="L536" s="48">
        <f t="shared" si="188"/>
        <v>0</v>
      </c>
      <c r="M536" s="48">
        <v>306233.59999999998</v>
      </c>
      <c r="N536" s="48">
        <f t="shared" si="189"/>
        <v>4.7583299317545134</v>
      </c>
      <c r="P536" s="24"/>
      <c r="Q536" s="24"/>
      <c r="R536" s="24"/>
      <c r="S536" s="24"/>
    </row>
    <row r="537" spans="1:19" x14ac:dyDescent="0.25">
      <c r="A537" s="62"/>
      <c r="B537" s="13" t="s">
        <v>499</v>
      </c>
      <c r="C537" s="63"/>
      <c r="D537" s="2">
        <v>2</v>
      </c>
      <c r="E537" s="2">
        <v>30790</v>
      </c>
      <c r="F537" s="48">
        <f t="shared" si="190"/>
        <v>14.923130610108375</v>
      </c>
      <c r="G537" s="48">
        <v>1635289.9400000002</v>
      </c>
      <c r="H537" s="48">
        <f t="shared" si="186"/>
        <v>4.7011332120703937</v>
      </c>
      <c r="I537" s="48">
        <v>912218.4</v>
      </c>
      <c r="J537" s="48">
        <f t="shared" si="187"/>
        <v>5.1132550250926725</v>
      </c>
      <c r="K537" s="2">
        <v>22330</v>
      </c>
      <c r="L537" s="48">
        <f t="shared" si="188"/>
        <v>9.5381697648988517</v>
      </c>
      <c r="M537" s="48">
        <v>374607.51999999996</v>
      </c>
      <c r="N537" s="48">
        <f t="shared" si="189"/>
        <v>5.8207400333481614</v>
      </c>
      <c r="P537" s="24"/>
      <c r="Q537" s="24"/>
      <c r="R537" s="24"/>
      <c r="S537" s="24"/>
    </row>
    <row r="538" spans="1:19" x14ac:dyDescent="0.25">
      <c r="A538" s="62"/>
      <c r="B538" s="13" t="s">
        <v>496</v>
      </c>
      <c r="C538" s="63"/>
      <c r="D538" s="2">
        <v>1</v>
      </c>
      <c r="E538" s="2">
        <v>0</v>
      </c>
      <c r="F538" s="48">
        <f t="shared" si="190"/>
        <v>0</v>
      </c>
      <c r="G538" s="48">
        <v>1633877.3</v>
      </c>
      <c r="H538" s="48">
        <f t="shared" si="186"/>
        <v>4.6970721531362818</v>
      </c>
      <c r="I538" s="48">
        <v>0</v>
      </c>
      <c r="J538" s="48">
        <f t="shared" si="187"/>
        <v>0</v>
      </c>
      <c r="K538" s="2">
        <v>0</v>
      </c>
      <c r="L538" s="48">
        <f t="shared" si="188"/>
        <v>0</v>
      </c>
      <c r="M538" s="48">
        <v>0</v>
      </c>
      <c r="N538" s="48">
        <f t="shared" si="189"/>
        <v>0</v>
      </c>
      <c r="P538" s="24"/>
      <c r="Q538" s="24"/>
      <c r="R538" s="24"/>
      <c r="S538" s="24"/>
    </row>
    <row r="539" spans="1:19" x14ac:dyDescent="0.25">
      <c r="A539" s="62"/>
      <c r="B539" s="13" t="s">
        <v>500</v>
      </c>
      <c r="C539" s="63"/>
      <c r="D539" s="2">
        <v>1</v>
      </c>
      <c r="E539" s="2">
        <v>0</v>
      </c>
      <c r="F539" s="48">
        <f t="shared" si="190"/>
        <v>0</v>
      </c>
      <c r="G539" s="48">
        <v>1308327</v>
      </c>
      <c r="H539" s="48">
        <f t="shared" si="186"/>
        <v>3.7611798137450911</v>
      </c>
      <c r="I539" s="48">
        <v>756676.52</v>
      </c>
      <c r="J539" s="48">
        <f t="shared" si="187"/>
        <v>4.2413965978537993</v>
      </c>
      <c r="K539" s="2">
        <v>0</v>
      </c>
      <c r="L539" s="48">
        <f t="shared" si="188"/>
        <v>0</v>
      </c>
      <c r="M539" s="48">
        <v>339532.01999999996</v>
      </c>
      <c r="N539" s="48">
        <f t="shared" si="189"/>
        <v>5.2757286383828292</v>
      </c>
      <c r="P539" s="24"/>
      <c r="Q539" s="24"/>
      <c r="R539" s="24"/>
      <c r="S539" s="24"/>
    </row>
    <row r="540" spans="1:19" x14ac:dyDescent="0.25">
      <c r="A540" s="62"/>
      <c r="B540" s="13" t="s">
        <v>97</v>
      </c>
      <c r="C540" s="63"/>
      <c r="D540" s="2">
        <v>2</v>
      </c>
      <c r="E540" s="2">
        <v>7000</v>
      </c>
      <c r="F540" s="48">
        <f t="shared" si="190"/>
        <v>3.3927221263643594</v>
      </c>
      <c r="G540" s="48">
        <v>2670561.04</v>
      </c>
      <c r="H540" s="48">
        <f t="shared" si="186"/>
        <v>7.6773316418770667</v>
      </c>
      <c r="I540" s="48">
        <v>670418.4</v>
      </c>
      <c r="J540" s="48">
        <f t="shared" si="187"/>
        <v>3.7578942199747227</v>
      </c>
      <c r="K540" s="2">
        <v>0</v>
      </c>
      <c r="L540" s="48">
        <f t="shared" si="188"/>
        <v>0</v>
      </c>
      <c r="M540" s="48">
        <v>224200</v>
      </c>
      <c r="N540" s="48">
        <f t="shared" si="189"/>
        <v>3.4836724993578825</v>
      </c>
      <c r="P540" s="24"/>
      <c r="Q540" s="24"/>
      <c r="R540" s="24"/>
      <c r="S540" s="24"/>
    </row>
    <row r="541" spans="1:19" x14ac:dyDescent="0.25">
      <c r="A541" s="62"/>
      <c r="B541" s="13" t="s">
        <v>121</v>
      </c>
      <c r="C541" s="63"/>
      <c r="D541" s="2">
        <v>1</v>
      </c>
      <c r="E541" s="2">
        <v>9800</v>
      </c>
      <c r="F541" s="48">
        <f t="shared" si="190"/>
        <v>4.7498109769101031</v>
      </c>
      <c r="G541" s="48">
        <v>2033531.92</v>
      </c>
      <c r="H541" s="48">
        <f t="shared" si="186"/>
        <v>5.8459996683629525</v>
      </c>
      <c r="I541" s="48">
        <v>2232806</v>
      </c>
      <c r="J541" s="48">
        <f t="shared" si="187"/>
        <v>12.515540685823778</v>
      </c>
      <c r="K541" s="2">
        <v>45400</v>
      </c>
      <c r="L541" s="48">
        <f t="shared" si="188"/>
        <v>19.392427556041554</v>
      </c>
      <c r="M541" s="48">
        <v>901413.79999999993</v>
      </c>
      <c r="N541" s="48">
        <f t="shared" si="189"/>
        <v>14.00638031044463</v>
      </c>
      <c r="P541" s="24"/>
      <c r="Q541" s="24"/>
      <c r="R541" s="24"/>
      <c r="S541" s="24"/>
    </row>
    <row r="542" spans="1:19" x14ac:dyDescent="0.25">
      <c r="A542" s="62"/>
      <c r="B542" s="13" t="s">
        <v>99</v>
      </c>
      <c r="C542" s="63"/>
      <c r="D542" s="2">
        <v>2</v>
      </c>
      <c r="E542" s="2">
        <v>0</v>
      </c>
      <c r="F542" s="48">
        <f t="shared" si="190"/>
        <v>0</v>
      </c>
      <c r="G542" s="48">
        <v>1207490.01</v>
      </c>
      <c r="H542" s="48">
        <f t="shared" si="186"/>
        <v>3.4712935305247528</v>
      </c>
      <c r="I542" s="48">
        <v>260772</v>
      </c>
      <c r="J542" s="48">
        <f t="shared" si="187"/>
        <v>1.4617044990579739</v>
      </c>
      <c r="K542" s="2">
        <v>0</v>
      </c>
      <c r="L542" s="48">
        <f t="shared" si="188"/>
        <v>0</v>
      </c>
      <c r="M542" s="48">
        <v>27848</v>
      </c>
      <c r="N542" s="48">
        <f t="shared" si="189"/>
        <v>0.43270879465708434</v>
      </c>
      <c r="P542" s="24"/>
      <c r="Q542" s="24"/>
      <c r="R542" s="24"/>
      <c r="S542" s="24"/>
    </row>
    <row r="543" spans="1:19" x14ac:dyDescent="0.25">
      <c r="A543" s="62"/>
      <c r="B543" s="13" t="s">
        <v>133</v>
      </c>
      <c r="C543" s="63"/>
      <c r="D543" s="2">
        <v>1</v>
      </c>
      <c r="E543" s="2">
        <v>0</v>
      </c>
      <c r="F543" s="48">
        <f t="shared" si="190"/>
        <v>0</v>
      </c>
      <c r="G543" s="48">
        <v>1910399.4000000001</v>
      </c>
      <c r="H543" s="48">
        <f t="shared" si="186"/>
        <v>5.4920181724222878</v>
      </c>
      <c r="I543" s="48">
        <v>571640</v>
      </c>
      <c r="J543" s="48">
        <f t="shared" si="187"/>
        <v>3.2042119546634615</v>
      </c>
      <c r="K543" s="2">
        <v>0</v>
      </c>
      <c r="L543" s="48">
        <f t="shared" si="188"/>
        <v>0</v>
      </c>
      <c r="M543" s="48">
        <v>410699</v>
      </c>
      <c r="N543" s="48">
        <f t="shared" si="189"/>
        <v>6.3815379652711099</v>
      </c>
      <c r="P543" s="24"/>
      <c r="Q543" s="24"/>
      <c r="R543" s="24"/>
      <c r="S543" s="24"/>
    </row>
    <row r="544" spans="1:19" x14ac:dyDescent="0.25">
      <c r="A544" s="62"/>
      <c r="B544" s="13" t="s">
        <v>495</v>
      </c>
      <c r="C544" s="63"/>
      <c r="D544" s="2">
        <v>3</v>
      </c>
      <c r="E544" s="47">
        <v>33000</v>
      </c>
      <c r="F544" s="48">
        <f t="shared" si="190"/>
        <v>15.994261452860551</v>
      </c>
      <c r="G544" s="48">
        <v>3679404.0000000005</v>
      </c>
      <c r="H544" s="48">
        <f t="shared" si="186"/>
        <v>10.577554427458077</v>
      </c>
      <c r="I544" s="48">
        <v>2306511.6</v>
      </c>
      <c r="J544" s="48">
        <f t="shared" si="187"/>
        <v>12.928682461496656</v>
      </c>
      <c r="K544" s="2">
        <v>50500</v>
      </c>
      <c r="L544" s="48">
        <f t="shared" si="188"/>
        <v>21.570872061235647</v>
      </c>
      <c r="M544" s="48">
        <v>1160749.48</v>
      </c>
      <c r="N544" s="48">
        <f t="shared" si="189"/>
        <v>18.035999295807144</v>
      </c>
      <c r="P544" s="24"/>
      <c r="Q544" s="24"/>
      <c r="R544" s="24"/>
      <c r="S544" s="24"/>
    </row>
    <row r="545" spans="1:19" x14ac:dyDescent="0.25">
      <c r="A545" s="62"/>
      <c r="B545" s="13" t="s">
        <v>494</v>
      </c>
      <c r="C545" s="63"/>
      <c r="D545" s="2">
        <v>1</v>
      </c>
      <c r="E545" s="2">
        <v>12300</v>
      </c>
      <c r="F545" s="48">
        <f t="shared" si="190"/>
        <v>5.9614974506116596</v>
      </c>
      <c r="G545" s="48">
        <v>3055629.7</v>
      </c>
      <c r="H545" s="48">
        <f t="shared" si="186"/>
        <v>8.7843274241989722</v>
      </c>
      <c r="I545" s="48">
        <v>2039808.68</v>
      </c>
      <c r="J545" s="48">
        <f t="shared" si="187"/>
        <v>11.433733394588019</v>
      </c>
      <c r="K545" s="2">
        <v>35322</v>
      </c>
      <c r="L545" s="48">
        <f t="shared" si="188"/>
        <v>15.087650355385458</v>
      </c>
      <c r="M545" s="48">
        <v>532949.36</v>
      </c>
      <c r="N545" s="48">
        <f t="shared" si="189"/>
        <v>8.281092903578875</v>
      </c>
      <c r="P545" s="24"/>
      <c r="Q545" s="24"/>
      <c r="R545" s="24"/>
      <c r="S545" s="24"/>
    </row>
    <row r="546" spans="1:19" ht="15.75" x14ac:dyDescent="0.25">
      <c r="A546" s="3"/>
      <c r="B546" s="3"/>
      <c r="C546" s="3"/>
      <c r="D546" s="3">
        <f>SUM(D528:D545)</f>
        <v>26</v>
      </c>
      <c r="E546" s="21">
        <f>SUM(E528:E545)</f>
        <v>206324</v>
      </c>
      <c r="F546" s="17">
        <v>1</v>
      </c>
      <c r="G546" s="21">
        <f>SUM(G528:G545)</f>
        <v>34785015.890000001</v>
      </c>
      <c r="H546" s="17">
        <v>1</v>
      </c>
      <c r="I546" s="21">
        <f>SUM(I528:I545)</f>
        <v>17840268.120000001</v>
      </c>
      <c r="J546" s="17">
        <v>1</v>
      </c>
      <c r="K546" s="21">
        <f>SUM(K528:K545)</f>
        <v>234112</v>
      </c>
      <c r="L546" s="17">
        <v>1</v>
      </c>
      <c r="M546" s="21">
        <f>SUM(M528:M545)</f>
        <v>6435736.5200000005</v>
      </c>
      <c r="N546" s="17">
        <v>1</v>
      </c>
      <c r="P546" s="28"/>
      <c r="Q546" s="24"/>
      <c r="R546" s="24"/>
      <c r="S546" s="24"/>
    </row>
    <row r="547" spans="1:19" ht="23.25" customHeight="1" x14ac:dyDescent="0.25">
      <c r="A547" s="64" t="s">
        <v>503</v>
      </c>
      <c r="B547" s="13" t="s">
        <v>504</v>
      </c>
      <c r="C547" s="63" t="s">
        <v>88</v>
      </c>
      <c r="D547" s="2">
        <v>1</v>
      </c>
      <c r="E547" s="2">
        <v>0</v>
      </c>
      <c r="F547" s="2">
        <v>0</v>
      </c>
      <c r="G547" s="2">
        <v>152774</v>
      </c>
      <c r="H547" s="48">
        <f>G547/6092.65</f>
        <v>25.075131510918897</v>
      </c>
      <c r="I547" s="2">
        <v>110870</v>
      </c>
      <c r="J547" s="48">
        <f>I547/3037.09</f>
        <v>36.505338992259034</v>
      </c>
      <c r="K547" s="2">
        <v>0</v>
      </c>
      <c r="L547" s="2">
        <v>0</v>
      </c>
      <c r="M547" s="25">
        <v>54454</v>
      </c>
      <c r="N547" s="48">
        <f>M547/1455.85</f>
        <v>37.403578665384487</v>
      </c>
      <c r="P547" s="24"/>
      <c r="Q547" s="24"/>
      <c r="R547" s="24"/>
      <c r="S547" s="24"/>
    </row>
    <row r="548" spans="1:19" ht="24.75" customHeight="1" x14ac:dyDescent="0.25">
      <c r="A548" s="64"/>
      <c r="B548" s="13" t="s">
        <v>505</v>
      </c>
      <c r="C548" s="63"/>
      <c r="D548" s="2">
        <v>1</v>
      </c>
      <c r="E548" s="2">
        <v>0</v>
      </c>
      <c r="F548" s="2">
        <v>0</v>
      </c>
      <c r="G548" s="2">
        <v>98391</v>
      </c>
      <c r="H548" s="48">
        <f t="shared" ref="H548:H549" si="191">G548/6092.65</f>
        <v>16.149130509712524</v>
      </c>
      <c r="I548" s="2">
        <v>63441</v>
      </c>
      <c r="J548" s="48">
        <f t="shared" ref="J548:J549" si="192">I548/3037.09</f>
        <v>20.888745476755709</v>
      </c>
      <c r="K548" s="2">
        <v>0</v>
      </c>
      <c r="L548" s="2">
        <v>0</v>
      </c>
      <c r="M548" s="25">
        <v>41567</v>
      </c>
      <c r="N548" s="48">
        <f t="shared" ref="N548:N549" si="193">M548/1455.85</f>
        <v>28.551705189408253</v>
      </c>
      <c r="P548" s="24"/>
      <c r="Q548" s="24"/>
      <c r="R548" s="24"/>
      <c r="S548" s="24"/>
    </row>
    <row r="549" spans="1:19" ht="15" customHeight="1" x14ac:dyDescent="0.25">
      <c r="A549" s="64"/>
      <c r="B549" s="13" t="s">
        <v>505</v>
      </c>
      <c r="C549" s="63"/>
      <c r="D549" s="2">
        <v>1</v>
      </c>
      <c r="E549" s="2">
        <v>0</v>
      </c>
      <c r="F549" s="2">
        <v>0</v>
      </c>
      <c r="G549" s="2">
        <v>358100</v>
      </c>
      <c r="H549" s="48">
        <f t="shared" si="191"/>
        <v>58.775737979368586</v>
      </c>
      <c r="I549" s="2">
        <v>129398</v>
      </c>
      <c r="J549" s="48">
        <f t="shared" si="192"/>
        <v>42.60591553098525</v>
      </c>
      <c r="K549" s="2">
        <v>0</v>
      </c>
      <c r="L549" s="2">
        <v>0</v>
      </c>
      <c r="M549" s="25">
        <v>49564</v>
      </c>
      <c r="N549" s="48">
        <f t="shared" si="193"/>
        <v>34.044716145207268</v>
      </c>
      <c r="P549" s="24"/>
      <c r="Q549" s="24"/>
      <c r="R549" s="24"/>
      <c r="S549" s="24"/>
    </row>
    <row r="550" spans="1:19" ht="15.75" x14ac:dyDescent="0.25">
      <c r="A550" s="3"/>
      <c r="B550" s="3"/>
      <c r="C550" s="3"/>
      <c r="D550" s="3">
        <v>3</v>
      </c>
      <c r="E550" s="21">
        <v>0</v>
      </c>
      <c r="F550" s="17">
        <v>1</v>
      </c>
      <c r="G550" s="21">
        <f>SUM(G547:G549)</f>
        <v>609265</v>
      </c>
      <c r="H550" s="17">
        <v>1</v>
      </c>
      <c r="I550" s="21">
        <f>SUM(I547:I549)</f>
        <v>303709</v>
      </c>
      <c r="J550" s="17">
        <v>1</v>
      </c>
      <c r="K550" s="21">
        <v>0</v>
      </c>
      <c r="L550" s="17">
        <v>1</v>
      </c>
      <c r="M550" s="21">
        <f>SUM(M547:M549)</f>
        <v>145585</v>
      </c>
      <c r="N550" s="17">
        <v>1</v>
      </c>
      <c r="P550" s="28"/>
      <c r="Q550" s="24"/>
      <c r="R550" s="24"/>
      <c r="S550" s="24"/>
    </row>
    <row r="551" spans="1:19" x14ac:dyDescent="0.25">
      <c r="A551" s="62" t="s">
        <v>506</v>
      </c>
      <c r="B551" s="13" t="s">
        <v>507</v>
      </c>
      <c r="C551" s="63" t="s">
        <v>88</v>
      </c>
      <c r="D551" s="2">
        <v>1</v>
      </c>
      <c r="E551" s="2">
        <v>4800</v>
      </c>
      <c r="F551" s="48">
        <f>E551/111.5</f>
        <v>43.049327354260093</v>
      </c>
      <c r="G551" s="2">
        <v>172984</v>
      </c>
      <c r="H551" s="48">
        <f>G551/8976.43</f>
        <v>19.270912823917747</v>
      </c>
      <c r="I551" s="2">
        <v>87760</v>
      </c>
      <c r="J551" s="48">
        <f>I551/6768.53</f>
        <v>12.965887718603597</v>
      </c>
      <c r="K551" s="2">
        <v>0</v>
      </c>
      <c r="L551" s="2">
        <v>0</v>
      </c>
      <c r="M551" s="25">
        <v>53632</v>
      </c>
      <c r="N551" s="48">
        <f>M551/2477.75</f>
        <v>21.645444455655333</v>
      </c>
      <c r="P551" s="24"/>
      <c r="Q551" s="24"/>
      <c r="R551" s="24"/>
      <c r="S551" s="24"/>
    </row>
    <row r="552" spans="1:19" x14ac:dyDescent="0.25">
      <c r="A552" s="62"/>
      <c r="B552" s="13" t="s">
        <v>508</v>
      </c>
      <c r="C552" s="63"/>
      <c r="D552" s="2">
        <v>1</v>
      </c>
      <c r="E552" s="2">
        <v>0</v>
      </c>
      <c r="F552" s="48">
        <f t="shared" ref="F552:F555" si="194">E552/111.5</f>
        <v>0</v>
      </c>
      <c r="G552" s="2">
        <v>143040</v>
      </c>
      <c r="H552" s="48">
        <f t="shared" ref="H552:H555" si="195">G552/8976.43</f>
        <v>15.9350654993132</v>
      </c>
      <c r="I552" s="2">
        <v>14500</v>
      </c>
      <c r="J552" s="48">
        <f t="shared" ref="J552:J555" si="196">I552/6768.53</f>
        <v>2.1422672278914328</v>
      </c>
      <c r="K552" s="2">
        <v>0</v>
      </c>
      <c r="L552" s="2">
        <v>0</v>
      </c>
      <c r="M552" s="25">
        <v>21422</v>
      </c>
      <c r="N552" s="48">
        <f t="shared" ref="N552:N555" si="197">M552/2477.75</f>
        <v>8.6457471496317222</v>
      </c>
      <c r="P552" s="24"/>
      <c r="Q552" s="24"/>
      <c r="R552" s="24"/>
      <c r="S552" s="24"/>
    </row>
    <row r="553" spans="1:19" x14ac:dyDescent="0.25">
      <c r="A553" s="62"/>
      <c r="B553" s="13" t="s">
        <v>509</v>
      </c>
      <c r="C553" s="63"/>
      <c r="D553" s="2">
        <v>1</v>
      </c>
      <c r="E553" s="2">
        <v>0</v>
      </c>
      <c r="F553" s="48">
        <f t="shared" si="194"/>
        <v>0</v>
      </c>
      <c r="G553" s="2">
        <v>192939</v>
      </c>
      <c r="H553" s="48">
        <f t="shared" si="195"/>
        <v>21.493956951705744</v>
      </c>
      <c r="I553" s="2">
        <v>275080</v>
      </c>
      <c r="J553" s="48">
        <f t="shared" si="196"/>
        <v>40.641025451612094</v>
      </c>
      <c r="K553" s="2">
        <v>0</v>
      </c>
      <c r="L553" s="2">
        <v>0</v>
      </c>
      <c r="M553" s="25">
        <v>55622</v>
      </c>
      <c r="N553" s="48">
        <f t="shared" si="197"/>
        <v>22.448592473009786</v>
      </c>
      <c r="P553" s="24"/>
      <c r="Q553" s="24"/>
      <c r="R553" s="24"/>
      <c r="S553" s="24"/>
    </row>
    <row r="554" spans="1:19" x14ac:dyDescent="0.25">
      <c r="A554" s="62"/>
      <c r="B554" s="13" t="s">
        <v>510</v>
      </c>
      <c r="C554" s="63"/>
      <c r="D554" s="2">
        <v>1</v>
      </c>
      <c r="E554" s="2">
        <v>0</v>
      </c>
      <c r="F554" s="48">
        <f t="shared" si="194"/>
        <v>0</v>
      </c>
      <c r="G554" s="2">
        <v>175880</v>
      </c>
      <c r="H554" s="48">
        <f t="shared" si="195"/>
        <v>19.593535514675654</v>
      </c>
      <c r="I554" s="2">
        <v>127623</v>
      </c>
      <c r="J554" s="48">
        <f t="shared" si="196"/>
        <v>18.855349684495749</v>
      </c>
      <c r="K554" s="2">
        <v>0</v>
      </c>
      <c r="L554" s="2">
        <v>0</v>
      </c>
      <c r="M554" s="25">
        <v>38566</v>
      </c>
      <c r="N554" s="48">
        <f t="shared" si="197"/>
        <v>15.564927857935627</v>
      </c>
      <c r="P554" s="24"/>
      <c r="Q554" s="24"/>
      <c r="R554" s="24"/>
      <c r="S554" s="24"/>
    </row>
    <row r="555" spans="1:19" x14ac:dyDescent="0.25">
      <c r="A555" s="62"/>
      <c r="B555" s="13" t="s">
        <v>511</v>
      </c>
      <c r="C555" s="63"/>
      <c r="D555" s="2">
        <v>1</v>
      </c>
      <c r="E555" s="2">
        <v>6350</v>
      </c>
      <c r="F555" s="48">
        <f t="shared" si="194"/>
        <v>56.950672645739907</v>
      </c>
      <c r="G555" s="2">
        <v>212800</v>
      </c>
      <c r="H555" s="48">
        <f t="shared" si="195"/>
        <v>23.706529210387647</v>
      </c>
      <c r="I555" s="2">
        <v>171890</v>
      </c>
      <c r="J555" s="48">
        <f t="shared" si="196"/>
        <v>25.395469917397133</v>
      </c>
      <c r="K555" s="2">
        <v>0</v>
      </c>
      <c r="L555" s="2">
        <v>0</v>
      </c>
      <c r="M555" s="25">
        <v>78533</v>
      </c>
      <c r="N555" s="48">
        <f t="shared" si="197"/>
        <v>31.695288063767531</v>
      </c>
      <c r="P555" s="24"/>
      <c r="Q555" s="24"/>
      <c r="R555" s="24"/>
      <c r="S555" s="24"/>
    </row>
    <row r="556" spans="1:19" ht="15.75" x14ac:dyDescent="0.25">
      <c r="A556" s="3"/>
      <c r="B556" s="3"/>
      <c r="C556" s="3"/>
      <c r="D556" s="3"/>
      <c r="E556" s="21">
        <f>SUM(E551:E555)</f>
        <v>11150</v>
      </c>
      <c r="F556" s="17">
        <v>1</v>
      </c>
      <c r="G556" s="21">
        <f>SUM(G551:G555)</f>
        <v>897643</v>
      </c>
      <c r="H556" s="17">
        <v>1</v>
      </c>
      <c r="I556" s="21">
        <f>SUM(I551:I555)</f>
        <v>676853</v>
      </c>
      <c r="J556" s="17">
        <v>1</v>
      </c>
      <c r="K556" s="21">
        <v>0</v>
      </c>
      <c r="L556" s="17">
        <v>1</v>
      </c>
      <c r="M556" s="21">
        <f>SUM(M551:M555)</f>
        <v>247775</v>
      </c>
      <c r="N556" s="17">
        <v>1</v>
      </c>
      <c r="P556" s="28"/>
      <c r="Q556" s="24"/>
      <c r="R556" s="24"/>
      <c r="S556" s="24"/>
    </row>
    <row r="557" spans="1:19" x14ac:dyDescent="0.25">
      <c r="A557" s="62" t="s">
        <v>512</v>
      </c>
      <c r="B557" s="13" t="s">
        <v>513</v>
      </c>
      <c r="C557" s="63" t="s">
        <v>88</v>
      </c>
      <c r="D557" s="2">
        <v>1</v>
      </c>
      <c r="E557" s="2">
        <v>4500</v>
      </c>
      <c r="F557" s="48">
        <f>E557/183.5</f>
        <v>24.52316076294278</v>
      </c>
      <c r="G557" s="48">
        <v>128008.16</v>
      </c>
      <c r="H557" s="48">
        <f>G557/6849.76</f>
        <v>18.687977388988813</v>
      </c>
      <c r="I557" s="48">
        <v>66570.399999999994</v>
      </c>
      <c r="J557" s="48">
        <f>I557/5949.4</f>
        <v>11.189430866978183</v>
      </c>
      <c r="K557" s="2">
        <v>0</v>
      </c>
      <c r="L557" s="2">
        <v>0</v>
      </c>
      <c r="M557" s="48">
        <v>34594.300000000003</v>
      </c>
      <c r="N557" s="48">
        <f>M557/1932.87</f>
        <v>17.897892770853709</v>
      </c>
      <c r="P557" s="24"/>
      <c r="Q557" s="24"/>
      <c r="R557" s="24"/>
      <c r="S557" s="24"/>
    </row>
    <row r="558" spans="1:19" x14ac:dyDescent="0.25">
      <c r="A558" s="62"/>
      <c r="B558" s="13" t="s">
        <v>514</v>
      </c>
      <c r="C558" s="63"/>
      <c r="D558" s="2">
        <v>1</v>
      </c>
      <c r="E558" s="2">
        <v>6800</v>
      </c>
      <c r="F558" s="48">
        <f t="shared" ref="F558:F561" si="198">E558/183.5</f>
        <v>37.057220708446863</v>
      </c>
      <c r="G558" s="48">
        <v>112509.6</v>
      </c>
      <c r="H558" s="48">
        <f t="shared" ref="H558:H561" si="199">G558/6849.76</f>
        <v>16.425334610263718</v>
      </c>
      <c r="I558" s="48">
        <v>10730</v>
      </c>
      <c r="J558" s="48">
        <f t="shared" ref="J558:J561" si="200">I558/5949.4</f>
        <v>1.8035432144417927</v>
      </c>
      <c r="K558" s="2">
        <v>0</v>
      </c>
      <c r="L558" s="2">
        <v>0</v>
      </c>
      <c r="M558" s="48">
        <v>13924.300000000001</v>
      </c>
      <c r="N558" s="48">
        <f t="shared" ref="N558:N561" si="201">M558/1932.87</f>
        <v>7.2039506019546069</v>
      </c>
      <c r="P558" s="24"/>
      <c r="Q558" s="24"/>
      <c r="R558" s="24"/>
      <c r="S558" s="24"/>
    </row>
    <row r="559" spans="1:19" x14ac:dyDescent="0.25">
      <c r="A559" s="62"/>
      <c r="B559" s="13" t="s">
        <v>515</v>
      </c>
      <c r="C559" s="63"/>
      <c r="D559" s="2">
        <v>1</v>
      </c>
      <c r="E559" s="2">
        <v>0</v>
      </c>
      <c r="F559" s="48">
        <f t="shared" si="198"/>
        <v>0</v>
      </c>
      <c r="G559" s="48">
        <v>142774.85999999999</v>
      </c>
      <c r="H559" s="48">
        <f t="shared" si="199"/>
        <v>20.843775548340378</v>
      </c>
      <c r="I559" s="48">
        <v>273800</v>
      </c>
      <c r="J559" s="48">
        <f t="shared" si="200"/>
        <v>46.021447540928499</v>
      </c>
      <c r="K559" s="2">
        <v>0</v>
      </c>
      <c r="L559" s="2">
        <v>0</v>
      </c>
      <c r="M559" s="48">
        <v>62154.3</v>
      </c>
      <c r="N559" s="48">
        <f t="shared" si="201"/>
        <v>32.156482329385838</v>
      </c>
      <c r="P559" s="24"/>
      <c r="Q559" s="24"/>
      <c r="R559" s="24"/>
      <c r="S559" s="24"/>
    </row>
    <row r="560" spans="1:19" x14ac:dyDescent="0.25">
      <c r="A560" s="62"/>
      <c r="B560" s="13" t="s">
        <v>516</v>
      </c>
      <c r="C560" s="63"/>
      <c r="D560" s="2">
        <v>1</v>
      </c>
      <c r="E560" s="2">
        <v>0</v>
      </c>
      <c r="F560" s="48">
        <f t="shared" si="198"/>
        <v>0</v>
      </c>
      <c r="G560" s="48">
        <v>123491.2</v>
      </c>
      <c r="H560" s="48">
        <f t="shared" si="199"/>
        <v>18.028544065777485</v>
      </c>
      <c r="I560" s="48">
        <v>94441.02</v>
      </c>
      <c r="J560" s="48">
        <f t="shared" si="200"/>
        <v>15.874041079772752</v>
      </c>
      <c r="K560" s="2">
        <v>0</v>
      </c>
      <c r="L560" s="2">
        <v>0</v>
      </c>
      <c r="M560" s="48">
        <v>31567.9</v>
      </c>
      <c r="N560" s="48">
        <f t="shared" si="201"/>
        <v>16.332138219331878</v>
      </c>
      <c r="P560" s="24"/>
      <c r="Q560" s="24"/>
      <c r="R560" s="24"/>
      <c r="S560" s="24"/>
    </row>
    <row r="561" spans="1:19" x14ac:dyDescent="0.25">
      <c r="A561" s="62"/>
      <c r="B561" s="13" t="s">
        <v>517</v>
      </c>
      <c r="C561" s="63"/>
      <c r="D561" s="2">
        <v>1</v>
      </c>
      <c r="E561" s="2">
        <v>7050</v>
      </c>
      <c r="F561" s="48">
        <f t="shared" si="198"/>
        <v>38.419618528610357</v>
      </c>
      <c r="G561" s="48">
        <v>178191.99999999997</v>
      </c>
      <c r="H561" s="48">
        <f t="shared" si="199"/>
        <v>26.014342108336638</v>
      </c>
      <c r="I561" s="48">
        <v>149398.6</v>
      </c>
      <c r="J561" s="48">
        <f t="shared" si="200"/>
        <v>25.111540659562312</v>
      </c>
      <c r="K561" s="2">
        <v>0</v>
      </c>
      <c r="L561" s="2">
        <v>0</v>
      </c>
      <c r="M561" s="48">
        <v>51046.450000000004</v>
      </c>
      <c r="N561" s="48">
        <f t="shared" si="201"/>
        <v>26.409665419816132</v>
      </c>
      <c r="P561" s="24"/>
      <c r="Q561" s="24"/>
      <c r="R561" s="24"/>
      <c r="S561" s="24"/>
    </row>
    <row r="562" spans="1:19" ht="15.75" x14ac:dyDescent="0.25">
      <c r="A562" s="3"/>
      <c r="B562" s="3"/>
      <c r="C562" s="3"/>
      <c r="D562" s="3">
        <v>5</v>
      </c>
      <c r="E562" s="21">
        <f>SUM(E557:E561)</f>
        <v>18350</v>
      </c>
      <c r="F562" s="17">
        <v>1</v>
      </c>
      <c r="G562" s="21">
        <f>SUM(G557:G561)</f>
        <v>684975.82</v>
      </c>
      <c r="H562" s="17">
        <v>1</v>
      </c>
      <c r="I562" s="21">
        <f>SUM(I557:I561)</f>
        <v>594940.02</v>
      </c>
      <c r="J562" s="17">
        <v>1</v>
      </c>
      <c r="K562" s="21">
        <v>0</v>
      </c>
      <c r="L562" s="17">
        <v>1</v>
      </c>
      <c r="M562" s="21">
        <f>SUM(M557:M561)</f>
        <v>193287.25000000003</v>
      </c>
      <c r="N562" s="17">
        <v>1</v>
      </c>
      <c r="P562" s="28"/>
      <c r="Q562" s="24"/>
      <c r="R562" s="24"/>
      <c r="S562" s="24"/>
    </row>
    <row r="563" spans="1:19" ht="31.5" customHeight="1" x14ac:dyDescent="0.25">
      <c r="A563" s="64" t="s">
        <v>518</v>
      </c>
      <c r="B563" s="13" t="s">
        <v>519</v>
      </c>
      <c r="C563" s="67" t="s">
        <v>88</v>
      </c>
      <c r="D563" s="2">
        <v>1</v>
      </c>
      <c r="E563" s="2">
        <v>0</v>
      </c>
      <c r="F563" s="2">
        <v>0</v>
      </c>
      <c r="G563" s="2">
        <v>295595</v>
      </c>
      <c r="H563" s="48">
        <f>G563/5555.95</f>
        <v>53.203322564097952</v>
      </c>
      <c r="I563" s="2">
        <v>98462</v>
      </c>
      <c r="J563" s="48">
        <f>I563/1705.42</f>
        <v>57.734751556801257</v>
      </c>
      <c r="K563" s="2">
        <v>0</v>
      </c>
      <c r="L563" s="2">
        <v>0</v>
      </c>
      <c r="M563" s="25">
        <v>19600</v>
      </c>
      <c r="N563" s="48">
        <f>M563/370.4</f>
        <v>52.915766738660913</v>
      </c>
      <c r="P563" s="24"/>
      <c r="Q563" s="24"/>
      <c r="R563" s="24"/>
      <c r="S563" s="24"/>
    </row>
    <row r="564" spans="1:19" ht="24.75" customHeight="1" x14ac:dyDescent="0.25">
      <c r="A564" s="64"/>
      <c r="B564" s="13" t="s">
        <v>520</v>
      </c>
      <c r="C564" s="67"/>
      <c r="D564" s="2">
        <v>1</v>
      </c>
      <c r="E564" s="2">
        <v>20000</v>
      </c>
      <c r="F564" s="2">
        <v>100</v>
      </c>
      <c r="G564" s="2">
        <v>260000</v>
      </c>
      <c r="H564" s="48">
        <f>G564/5555.95</f>
        <v>46.796677435902055</v>
      </c>
      <c r="I564" s="2">
        <v>72080</v>
      </c>
      <c r="J564" s="48">
        <f>I564/1705.42</f>
        <v>42.265248443198743</v>
      </c>
      <c r="K564" s="2">
        <v>0</v>
      </c>
      <c r="L564" s="2">
        <v>0</v>
      </c>
      <c r="M564" s="25">
        <v>17440</v>
      </c>
      <c r="N564" s="48">
        <f>M564/370.4</f>
        <v>47.084233261339094</v>
      </c>
      <c r="P564" s="24"/>
      <c r="Q564" s="24"/>
      <c r="R564" s="24"/>
      <c r="S564" s="24"/>
    </row>
    <row r="565" spans="1:19" ht="15.75" x14ac:dyDescent="0.25">
      <c r="A565" s="3"/>
      <c r="B565" s="3"/>
      <c r="C565" s="3"/>
      <c r="D565" s="3">
        <v>2</v>
      </c>
      <c r="E565" s="21">
        <f>SUM(E563:E564)</f>
        <v>20000</v>
      </c>
      <c r="F565" s="17">
        <v>1</v>
      </c>
      <c r="G565" s="21">
        <f>SUM(G563:G564)</f>
        <v>555595</v>
      </c>
      <c r="H565" s="17">
        <v>1</v>
      </c>
      <c r="I565" s="21">
        <f>SUM(I563:I564)</f>
        <v>170542</v>
      </c>
      <c r="J565" s="17">
        <v>1</v>
      </c>
      <c r="K565" s="21">
        <v>0</v>
      </c>
      <c r="L565" s="17">
        <v>1</v>
      </c>
      <c r="M565" s="21">
        <f>SUM(M563:M564)</f>
        <v>37040</v>
      </c>
      <c r="N565" s="17">
        <v>1</v>
      </c>
      <c r="P565" s="28"/>
      <c r="Q565" s="24"/>
      <c r="R565" s="24"/>
      <c r="S565" s="24"/>
    </row>
    <row r="566" spans="1:19" x14ac:dyDescent="0.25">
      <c r="A566" s="62" t="s">
        <v>525</v>
      </c>
      <c r="B566" s="13" t="s">
        <v>526</v>
      </c>
      <c r="C566" s="63" t="s">
        <v>88</v>
      </c>
      <c r="D566" s="2">
        <v>1</v>
      </c>
      <c r="E566" s="2">
        <v>9000</v>
      </c>
      <c r="F566" s="2"/>
      <c r="G566" s="48">
        <v>122806.152</v>
      </c>
      <c r="H566" s="48">
        <f>G566/31970.58</f>
        <v>3.8412237751082401</v>
      </c>
      <c r="I566" s="48">
        <v>14000</v>
      </c>
      <c r="J566" s="48">
        <f>I566/25102.9</f>
        <v>0.55770448832604991</v>
      </c>
      <c r="K566" s="2">
        <v>0</v>
      </c>
      <c r="L566" s="48">
        <v>0</v>
      </c>
      <c r="M566" s="25">
        <v>26700</v>
      </c>
      <c r="N566" s="48">
        <f>M566/6247.93</f>
        <v>4.2734153551656311</v>
      </c>
      <c r="P566" s="24"/>
      <c r="Q566" s="24"/>
      <c r="R566" s="24"/>
      <c r="S566" s="24"/>
    </row>
    <row r="567" spans="1:19" x14ac:dyDescent="0.25">
      <c r="A567" s="62"/>
      <c r="B567" s="13" t="s">
        <v>527</v>
      </c>
      <c r="C567" s="63"/>
      <c r="D567" s="2">
        <v>1</v>
      </c>
      <c r="E567" s="2">
        <v>0</v>
      </c>
      <c r="F567" s="2"/>
      <c r="G567" s="48">
        <v>346380.3</v>
      </c>
      <c r="H567" s="48">
        <f t="shared" ref="H567:H574" si="202">G567/31970.58</f>
        <v>10.834345201119278</v>
      </c>
      <c r="I567" s="48">
        <v>151110</v>
      </c>
      <c r="J567" s="48">
        <f t="shared" ref="J567:J574" si="203">I567/25102.9</f>
        <v>6.0196232307821003</v>
      </c>
      <c r="K567" s="2">
        <v>0</v>
      </c>
      <c r="L567" s="48">
        <v>0</v>
      </c>
      <c r="M567" s="25">
        <v>21798</v>
      </c>
      <c r="N567" s="48">
        <f t="shared" ref="N567:N574" si="204">M567/6247.93</f>
        <v>3.4888355023183677</v>
      </c>
      <c r="P567" s="24"/>
      <c r="Q567" s="24"/>
      <c r="R567" s="24"/>
      <c r="S567" s="24"/>
    </row>
    <row r="568" spans="1:19" x14ac:dyDescent="0.25">
      <c r="A568" s="62"/>
      <c r="B568" s="13" t="s">
        <v>528</v>
      </c>
      <c r="C568" s="63"/>
      <c r="D568" s="2">
        <v>1</v>
      </c>
      <c r="E568" s="2">
        <v>0</v>
      </c>
      <c r="F568" s="2"/>
      <c r="G568" s="48">
        <v>380677.37400000001</v>
      </c>
      <c r="H568" s="48">
        <f t="shared" si="202"/>
        <v>11.907115041391179</v>
      </c>
      <c r="I568" s="48">
        <v>314484.46879999997</v>
      </c>
      <c r="J568" s="48">
        <f t="shared" si="203"/>
        <v>12.527814268470971</v>
      </c>
      <c r="K568" s="2">
        <v>960</v>
      </c>
      <c r="L568" s="48">
        <v>54.54545454545454</v>
      </c>
      <c r="M568" s="25">
        <v>106035</v>
      </c>
      <c r="N568" s="48">
        <f t="shared" si="204"/>
        <v>16.971220868351597</v>
      </c>
      <c r="P568" s="24"/>
      <c r="Q568" s="24"/>
      <c r="R568" s="24"/>
      <c r="S568" s="24"/>
    </row>
    <row r="569" spans="1:19" x14ac:dyDescent="0.25">
      <c r="A569" s="62"/>
      <c r="B569" s="13" t="s">
        <v>529</v>
      </c>
      <c r="C569" s="63"/>
      <c r="D569" s="2">
        <v>1</v>
      </c>
      <c r="E569" s="2">
        <v>12540</v>
      </c>
      <c r="F569" s="2"/>
      <c r="G569" s="48">
        <v>542434.64939999999</v>
      </c>
      <c r="H569" s="48">
        <f t="shared" si="202"/>
        <v>16.9666815365877</v>
      </c>
      <c r="I569" s="48">
        <v>492982</v>
      </c>
      <c r="J569" s="48">
        <f t="shared" si="203"/>
        <v>19.638448147425198</v>
      </c>
      <c r="K569" s="2">
        <v>0</v>
      </c>
      <c r="L569" s="48">
        <v>0</v>
      </c>
      <c r="M569" s="25">
        <v>127635</v>
      </c>
      <c r="N569" s="48">
        <f t="shared" si="204"/>
        <v>20.428365874777725</v>
      </c>
      <c r="P569" s="24"/>
      <c r="Q569" s="24"/>
      <c r="R569" s="24"/>
      <c r="S569" s="24"/>
    </row>
    <row r="570" spans="1:19" x14ac:dyDescent="0.25">
      <c r="A570" s="62"/>
      <c r="B570" s="13" t="s">
        <v>530</v>
      </c>
      <c r="C570" s="63"/>
      <c r="D570" s="2">
        <v>1</v>
      </c>
      <c r="E570" s="2">
        <v>0</v>
      </c>
      <c r="F570" s="2"/>
      <c r="G570" s="48">
        <v>78729.84</v>
      </c>
      <c r="H570" s="48">
        <f t="shared" si="202"/>
        <v>2.4625715266973573</v>
      </c>
      <c r="I570" s="48">
        <v>261205.19999999998</v>
      </c>
      <c r="J570" s="48">
        <f t="shared" si="203"/>
        <v>10.405379458150252</v>
      </c>
      <c r="K570" s="2">
        <v>0</v>
      </c>
      <c r="L570" s="48">
        <v>0</v>
      </c>
      <c r="M570" s="25">
        <v>0</v>
      </c>
      <c r="N570" s="48">
        <f t="shared" si="204"/>
        <v>0</v>
      </c>
      <c r="P570" s="24"/>
      <c r="Q570" s="24"/>
      <c r="R570" s="24"/>
      <c r="S570" s="24"/>
    </row>
    <row r="571" spans="1:19" x14ac:dyDescent="0.25">
      <c r="A571" s="62"/>
      <c r="B571" s="13" t="s">
        <v>531</v>
      </c>
      <c r="C571" s="63"/>
      <c r="D571" s="2">
        <v>1</v>
      </c>
      <c r="E571" s="2">
        <v>7540</v>
      </c>
      <c r="F571" s="2"/>
      <c r="G571" s="48">
        <v>384917.62679999997</v>
      </c>
      <c r="H571" s="48">
        <f t="shared" si="202"/>
        <v>12.039744877947161</v>
      </c>
      <c r="I571" s="48">
        <v>0</v>
      </c>
      <c r="J571" s="48">
        <f t="shared" si="203"/>
        <v>0</v>
      </c>
      <c r="K571" s="2">
        <v>0</v>
      </c>
      <c r="L571" s="48">
        <v>0</v>
      </c>
      <c r="M571" s="25">
        <v>56798</v>
      </c>
      <c r="N571" s="48">
        <f t="shared" si="204"/>
        <v>9.09069083680515</v>
      </c>
      <c r="P571" s="24"/>
      <c r="Q571" s="24"/>
      <c r="R571" s="24"/>
      <c r="S571" s="24"/>
    </row>
    <row r="572" spans="1:19" x14ac:dyDescent="0.25">
      <c r="A572" s="62"/>
      <c r="B572" s="13" t="s">
        <v>532</v>
      </c>
      <c r="C572" s="63"/>
      <c r="D572" s="2">
        <v>1</v>
      </c>
      <c r="E572" s="2">
        <v>6500</v>
      </c>
      <c r="F572" s="2"/>
      <c r="G572" s="48">
        <v>330970.63860000001</v>
      </c>
      <c r="H572" s="48">
        <f t="shared" si="202"/>
        <v>10.352350148167471</v>
      </c>
      <c r="I572" s="48">
        <v>358336.29759999999</v>
      </c>
      <c r="J572" s="48">
        <f t="shared" si="203"/>
        <v>14.274697250118511</v>
      </c>
      <c r="K572" s="2">
        <v>0</v>
      </c>
      <c r="L572" s="48">
        <v>0</v>
      </c>
      <c r="M572" s="25">
        <v>79070</v>
      </c>
      <c r="N572" s="48">
        <f t="shared" si="204"/>
        <v>12.655391465653423</v>
      </c>
      <c r="P572" s="24"/>
      <c r="Q572" s="24"/>
      <c r="R572" s="24"/>
      <c r="S572" s="24"/>
    </row>
    <row r="573" spans="1:19" x14ac:dyDescent="0.25">
      <c r="A573" s="62"/>
      <c r="B573" s="13" t="s">
        <v>533</v>
      </c>
      <c r="C573" s="63"/>
      <c r="D573" s="2">
        <v>1</v>
      </c>
      <c r="E573" s="2">
        <v>0</v>
      </c>
      <c r="F573" s="2"/>
      <c r="G573" s="48">
        <v>615654.95039999997</v>
      </c>
      <c r="H573" s="48">
        <f t="shared" si="202"/>
        <v>19.256921532233694</v>
      </c>
      <c r="I573" s="48">
        <v>672176.80960000004</v>
      </c>
      <c r="J573" s="48">
        <f t="shared" si="203"/>
        <v>26.776858833043192</v>
      </c>
      <c r="K573" s="2">
        <v>800</v>
      </c>
      <c r="L573" s="48">
        <v>45.454545454545453</v>
      </c>
      <c r="M573" s="25">
        <v>162279</v>
      </c>
      <c r="N573" s="48">
        <f t="shared" si="204"/>
        <v>25.973242337862299</v>
      </c>
      <c r="P573" s="24"/>
      <c r="Q573" s="24"/>
      <c r="R573" s="24"/>
      <c r="S573" s="24"/>
    </row>
    <row r="574" spans="1:19" x14ac:dyDescent="0.25">
      <c r="A574" s="62"/>
      <c r="B574" s="13" t="s">
        <v>534</v>
      </c>
      <c r="C574" s="63"/>
      <c r="D574" s="2">
        <v>1</v>
      </c>
      <c r="E574" s="47">
        <v>0</v>
      </c>
      <c r="F574" s="48"/>
      <c r="G574" s="48">
        <v>394486.092</v>
      </c>
      <c r="H574" s="48">
        <f t="shared" si="202"/>
        <v>12.33903457491231</v>
      </c>
      <c r="I574" s="48">
        <v>245995.0624</v>
      </c>
      <c r="J574" s="48">
        <f t="shared" si="203"/>
        <v>9.79946788618048</v>
      </c>
      <c r="K574" s="47">
        <v>0</v>
      </c>
      <c r="L574" s="48">
        <v>0</v>
      </c>
      <c r="M574" s="48">
        <v>44477.919999999998</v>
      </c>
      <c r="N574" s="48">
        <f t="shared" si="204"/>
        <v>7.1188249548250377</v>
      </c>
      <c r="P574" s="24"/>
      <c r="Q574" s="24"/>
      <c r="R574" s="24"/>
      <c r="S574" s="24"/>
    </row>
    <row r="575" spans="1:19" ht="15.75" x14ac:dyDescent="0.25">
      <c r="A575" s="3"/>
      <c r="B575" s="3"/>
      <c r="C575" s="3"/>
      <c r="D575" s="3">
        <v>9</v>
      </c>
      <c r="E575" s="21">
        <f>SUM(E566:E574)</f>
        <v>35580</v>
      </c>
      <c r="F575" s="17">
        <v>1</v>
      </c>
      <c r="G575" s="21">
        <f>SUM(G566:G574)</f>
        <v>3197057.6232000003</v>
      </c>
      <c r="H575" s="17">
        <v>1</v>
      </c>
      <c r="I575" s="21">
        <f>SUM(I566:I574)</f>
        <v>2510289.8383999998</v>
      </c>
      <c r="J575" s="17">
        <v>1</v>
      </c>
      <c r="K575" s="21">
        <f>SUM(K566:K574)</f>
        <v>1760</v>
      </c>
      <c r="L575" s="17">
        <v>1</v>
      </c>
      <c r="M575" s="21">
        <f>SUM(M566:M574)</f>
        <v>624792.92000000004</v>
      </c>
      <c r="N575" s="17">
        <v>1</v>
      </c>
      <c r="P575" s="28"/>
      <c r="Q575" s="24"/>
      <c r="R575" s="24"/>
      <c r="S575" s="24"/>
    </row>
    <row r="576" spans="1:19" ht="24" customHeight="1" x14ac:dyDescent="0.25">
      <c r="A576" s="64" t="s">
        <v>538</v>
      </c>
      <c r="B576" s="13" t="s">
        <v>535</v>
      </c>
      <c r="C576" s="63" t="s">
        <v>88</v>
      </c>
      <c r="D576" s="2">
        <v>1</v>
      </c>
      <c r="E576" s="2">
        <v>0</v>
      </c>
      <c r="F576" s="48">
        <f>E576/350.2</f>
        <v>0</v>
      </c>
      <c r="G576" s="2">
        <v>177080</v>
      </c>
      <c r="H576" s="48">
        <f>G576/6790.89</f>
        <v>26.076110789601952</v>
      </c>
      <c r="I576" s="48">
        <v>29866</v>
      </c>
      <c r="J576" s="48">
        <f>I576/769.01</f>
        <v>38.836946203560423</v>
      </c>
      <c r="K576" s="2">
        <v>0</v>
      </c>
      <c r="L576" s="2">
        <v>0</v>
      </c>
      <c r="M576" s="25">
        <v>8000</v>
      </c>
      <c r="N576" s="48">
        <f>M576/190.66</f>
        <v>41.959509073743838</v>
      </c>
      <c r="P576" s="24"/>
      <c r="Q576" s="24"/>
      <c r="R576" s="24"/>
      <c r="S576" s="24"/>
    </row>
    <row r="577" spans="1:19" ht="27" customHeight="1" x14ac:dyDescent="0.25">
      <c r="A577" s="64"/>
      <c r="B577" s="13" t="s">
        <v>536</v>
      </c>
      <c r="C577" s="63"/>
      <c r="D577" s="2">
        <v>1</v>
      </c>
      <c r="E577" s="2">
        <v>15020</v>
      </c>
      <c r="F577" s="48">
        <f t="shared" ref="F577:F578" si="205">E577/350.2</f>
        <v>42.889777270131354</v>
      </c>
      <c r="G577" s="2">
        <v>267009</v>
      </c>
      <c r="H577" s="48">
        <f t="shared" ref="H577:H578" si="206">G577/6790.89</f>
        <v>39.318704912021836</v>
      </c>
      <c r="I577" s="2">
        <v>5000</v>
      </c>
      <c r="J577" s="48">
        <f t="shared" ref="J577:J578" si="207">I577/769.01</f>
        <v>6.5018660355522035</v>
      </c>
      <c r="K577" s="2">
        <v>0</v>
      </c>
      <c r="L577" s="2">
        <v>0</v>
      </c>
      <c r="M577" s="25">
        <v>3566</v>
      </c>
      <c r="N577" s="48">
        <f t="shared" ref="N577:N578" si="208">M577/190.66</f>
        <v>18.703451169621317</v>
      </c>
      <c r="P577" s="24"/>
      <c r="Q577" s="24"/>
      <c r="R577" s="24"/>
      <c r="S577" s="24"/>
    </row>
    <row r="578" spans="1:19" ht="25.5" customHeight="1" x14ac:dyDescent="0.25">
      <c r="A578" s="64"/>
      <c r="B578" s="13" t="s">
        <v>537</v>
      </c>
      <c r="C578" s="63"/>
      <c r="D578" s="2">
        <v>1</v>
      </c>
      <c r="E578" s="2">
        <v>20000</v>
      </c>
      <c r="F578" s="48">
        <f t="shared" si="205"/>
        <v>57.110222729868646</v>
      </c>
      <c r="G578" s="2">
        <v>235000</v>
      </c>
      <c r="H578" s="48">
        <f t="shared" si="206"/>
        <v>34.605184298376209</v>
      </c>
      <c r="I578" s="2">
        <v>42035</v>
      </c>
      <c r="J578" s="48">
        <f t="shared" si="207"/>
        <v>54.661187760887373</v>
      </c>
      <c r="K578" s="2">
        <v>0</v>
      </c>
      <c r="L578" s="2">
        <v>0</v>
      </c>
      <c r="M578" s="25">
        <v>7500</v>
      </c>
      <c r="N578" s="48">
        <f t="shared" si="208"/>
        <v>39.337039756634852</v>
      </c>
      <c r="P578" s="24"/>
      <c r="Q578" s="24"/>
      <c r="R578" s="24"/>
      <c r="S578" s="24"/>
    </row>
    <row r="579" spans="1:19" ht="15.75" x14ac:dyDescent="0.25">
      <c r="A579" s="3"/>
      <c r="B579" s="3"/>
      <c r="C579" s="3"/>
      <c r="D579" s="3">
        <v>3</v>
      </c>
      <c r="E579" s="16">
        <f>SUM(E576:E578)</f>
        <v>35020</v>
      </c>
      <c r="F579" s="17">
        <v>1</v>
      </c>
      <c r="G579" s="16">
        <f>SUM(G576:G578)</f>
        <v>679089</v>
      </c>
      <c r="H579" s="17">
        <v>1</v>
      </c>
      <c r="I579" s="21">
        <f>SUM(I576:I578)</f>
        <v>76901</v>
      </c>
      <c r="J579" s="17">
        <v>1</v>
      </c>
      <c r="K579" s="21">
        <v>0</v>
      </c>
      <c r="L579" s="17">
        <v>1</v>
      </c>
      <c r="M579" s="21">
        <f>SUM(M576:M578)</f>
        <v>19066</v>
      </c>
      <c r="N579" s="17">
        <v>1</v>
      </c>
      <c r="P579" s="28"/>
      <c r="Q579" s="24"/>
      <c r="R579" s="24"/>
      <c r="S579" s="24"/>
    </row>
    <row r="580" spans="1:19" ht="15" customHeight="1" x14ac:dyDescent="0.25">
      <c r="A580" s="62" t="s">
        <v>544</v>
      </c>
      <c r="B580" s="13" t="s">
        <v>539</v>
      </c>
      <c r="C580" s="63" t="s">
        <v>88</v>
      </c>
      <c r="D580" s="2">
        <v>1</v>
      </c>
      <c r="E580" s="47">
        <v>2900</v>
      </c>
      <c r="F580" s="48">
        <f>E580/52</f>
        <v>55.769230769230766</v>
      </c>
      <c r="G580" s="47">
        <v>164320</v>
      </c>
      <c r="H580" s="48">
        <f>G580/10426.92</f>
        <v>15.759207896483334</v>
      </c>
      <c r="I580" s="48">
        <v>160623</v>
      </c>
      <c r="J580" s="48">
        <f>I580/7087.83</f>
        <v>22.661801990171888</v>
      </c>
      <c r="K580" s="47">
        <v>0</v>
      </c>
      <c r="L580" s="47">
        <v>0</v>
      </c>
      <c r="M580" s="47">
        <v>21560</v>
      </c>
      <c r="N580" s="48">
        <f>M580/1493.76</f>
        <v>14.43337617823479</v>
      </c>
      <c r="P580" s="24"/>
      <c r="Q580" s="24"/>
      <c r="R580" s="24"/>
      <c r="S580" s="24"/>
    </row>
    <row r="581" spans="1:19" ht="15" customHeight="1" x14ac:dyDescent="0.25">
      <c r="A581" s="62"/>
      <c r="B581" s="13" t="s">
        <v>540</v>
      </c>
      <c r="C581" s="63"/>
      <c r="D581" s="2">
        <v>2</v>
      </c>
      <c r="E581" s="2">
        <v>0</v>
      </c>
      <c r="F581" s="48">
        <f t="shared" ref="F581:F585" si="209">E581/52</f>
        <v>0</v>
      </c>
      <c r="G581" s="2">
        <v>315000</v>
      </c>
      <c r="H581" s="48">
        <f t="shared" ref="H581:H585" si="210">G581/10426.92</f>
        <v>30.21026343349714</v>
      </c>
      <c r="I581" s="48">
        <v>212877.36</v>
      </c>
      <c r="J581" s="48">
        <f t="shared" ref="J581:J585" si="211">I581/7087.83</f>
        <v>30.034207931059292</v>
      </c>
      <c r="K581" s="2">
        <v>0</v>
      </c>
      <c r="L581" s="2">
        <v>0</v>
      </c>
      <c r="M581" s="25">
        <v>58690</v>
      </c>
      <c r="N581" s="48">
        <f t="shared" ref="N581:N585" si="212">M581/1493.76</f>
        <v>39.290113538988862</v>
      </c>
      <c r="P581" s="24"/>
      <c r="Q581" s="24"/>
      <c r="R581" s="24"/>
      <c r="S581" s="24"/>
    </row>
    <row r="582" spans="1:19" ht="15" customHeight="1" x14ac:dyDescent="0.25">
      <c r="A582" s="62"/>
      <c r="B582" s="13" t="s">
        <v>541</v>
      </c>
      <c r="C582" s="63"/>
      <c r="D582" s="2">
        <v>1</v>
      </c>
      <c r="E582" s="2">
        <v>0</v>
      </c>
      <c r="F582" s="48">
        <f t="shared" si="209"/>
        <v>0</v>
      </c>
      <c r="G582" s="2">
        <v>180032</v>
      </c>
      <c r="H582" s="48">
        <f t="shared" si="210"/>
        <v>17.266076655426531</v>
      </c>
      <c r="I582" s="48">
        <v>92880</v>
      </c>
      <c r="J582" s="48">
        <f t="shared" si="211"/>
        <v>13.104151764362294</v>
      </c>
      <c r="K582" s="2">
        <v>0</v>
      </c>
      <c r="L582" s="2">
        <v>0</v>
      </c>
      <c r="M582" s="25">
        <v>2300</v>
      </c>
      <c r="N582" s="48">
        <f t="shared" si="212"/>
        <v>1.539738646101114</v>
      </c>
      <c r="P582" s="24"/>
      <c r="Q582" s="24"/>
      <c r="R582" s="24"/>
      <c r="S582" s="24"/>
    </row>
    <row r="583" spans="1:19" ht="15" customHeight="1" x14ac:dyDescent="0.25">
      <c r="A583" s="62"/>
      <c r="B583" s="13" t="s">
        <v>542</v>
      </c>
      <c r="C583" s="63"/>
      <c r="D583" s="2">
        <v>1</v>
      </c>
      <c r="E583" s="2">
        <v>0</v>
      </c>
      <c r="F583" s="48">
        <f t="shared" si="209"/>
        <v>0</v>
      </c>
      <c r="G583" s="2">
        <v>129000</v>
      </c>
      <c r="H583" s="48">
        <f t="shared" si="210"/>
        <v>12.371822168003591</v>
      </c>
      <c r="I583" s="48">
        <v>49110</v>
      </c>
      <c r="J583" s="48">
        <f t="shared" si="211"/>
        <v>6.9287779193349728</v>
      </c>
      <c r="K583" s="2">
        <v>0</v>
      </c>
      <c r="L583" s="2">
        <v>0</v>
      </c>
      <c r="M583" s="25">
        <v>960</v>
      </c>
      <c r="N583" s="48">
        <f t="shared" si="212"/>
        <v>0.64267352185089976</v>
      </c>
      <c r="P583" s="24"/>
      <c r="Q583" s="24"/>
      <c r="R583" s="24"/>
      <c r="S583" s="24"/>
    </row>
    <row r="584" spans="1:19" ht="15" customHeight="1" x14ac:dyDescent="0.25">
      <c r="A584" s="62"/>
      <c r="B584" s="13" t="s">
        <v>60</v>
      </c>
      <c r="C584" s="63"/>
      <c r="D584" s="2">
        <v>1</v>
      </c>
      <c r="E584" s="2">
        <v>0</v>
      </c>
      <c r="F584" s="48">
        <f t="shared" si="209"/>
        <v>0</v>
      </c>
      <c r="G584" s="2">
        <v>154320</v>
      </c>
      <c r="H584" s="48">
        <f t="shared" si="210"/>
        <v>14.800151914467552</v>
      </c>
      <c r="I584" s="48">
        <v>121701.59999999999</v>
      </c>
      <c r="J584" s="48">
        <f t="shared" si="211"/>
        <v>17.170502114187276</v>
      </c>
      <c r="K584" s="2">
        <v>0</v>
      </c>
      <c r="L584" s="2">
        <v>0</v>
      </c>
      <c r="M584" s="47">
        <v>49866</v>
      </c>
      <c r="N584" s="48">
        <f t="shared" si="212"/>
        <v>33.382872750642676</v>
      </c>
      <c r="P584" s="24"/>
      <c r="Q584" s="24"/>
      <c r="R584" s="24"/>
      <c r="S584" s="24"/>
    </row>
    <row r="585" spans="1:19" x14ac:dyDescent="0.25">
      <c r="A585" s="62"/>
      <c r="B585" s="2" t="s">
        <v>543</v>
      </c>
      <c r="C585" s="63"/>
      <c r="D585" s="2">
        <v>1</v>
      </c>
      <c r="E585" s="47">
        <v>2300</v>
      </c>
      <c r="F585" s="48">
        <f t="shared" si="209"/>
        <v>44.230769230769234</v>
      </c>
      <c r="G585" s="47">
        <v>100020</v>
      </c>
      <c r="H585" s="48">
        <f t="shared" si="210"/>
        <v>9.5924779321218541</v>
      </c>
      <c r="I585" s="48">
        <v>71591.039999999994</v>
      </c>
      <c r="J585" s="48">
        <f t="shared" si="211"/>
        <v>10.100558280884275</v>
      </c>
      <c r="K585" s="47">
        <v>0</v>
      </c>
      <c r="L585" s="47">
        <v>0</v>
      </c>
      <c r="M585" s="47">
        <v>16000</v>
      </c>
      <c r="N585" s="48">
        <f t="shared" si="212"/>
        <v>10.711225364181663</v>
      </c>
      <c r="P585" s="24"/>
      <c r="Q585" s="24"/>
      <c r="R585" s="24"/>
      <c r="S585" s="24"/>
    </row>
    <row r="586" spans="1:19" ht="15.75" x14ac:dyDescent="0.25">
      <c r="A586" s="3"/>
      <c r="B586" s="3"/>
      <c r="C586" s="3"/>
      <c r="D586" s="3">
        <f>SUM(D580:D585)</f>
        <v>7</v>
      </c>
      <c r="E586" s="21">
        <f>SUM(E580:E585)</f>
        <v>5200</v>
      </c>
      <c r="F586" s="17">
        <v>1</v>
      </c>
      <c r="G586" s="21">
        <f>SUM(G580:G585)</f>
        <v>1042692</v>
      </c>
      <c r="H586" s="17">
        <v>1</v>
      </c>
      <c r="I586" s="21">
        <f>SUM(I580:I585)</f>
        <v>708783</v>
      </c>
      <c r="J586" s="17">
        <v>1</v>
      </c>
      <c r="K586" s="21">
        <v>0</v>
      </c>
      <c r="L586" s="17">
        <v>1</v>
      </c>
      <c r="M586" s="21">
        <f>SUM(M580:M585)</f>
        <v>149376</v>
      </c>
      <c r="N586" s="17">
        <v>1</v>
      </c>
      <c r="P586" s="28"/>
      <c r="Q586" s="24"/>
      <c r="R586" s="24"/>
      <c r="S586" s="24"/>
    </row>
    <row r="587" spans="1:19" x14ac:dyDescent="0.25">
      <c r="A587" s="62" t="s">
        <v>545</v>
      </c>
      <c r="B587" s="13" t="s">
        <v>546</v>
      </c>
      <c r="C587" s="63" t="s">
        <v>88</v>
      </c>
      <c r="D587" s="2">
        <v>2</v>
      </c>
      <c r="E587" s="2">
        <v>7400</v>
      </c>
      <c r="F587" s="48">
        <f>E587/128</f>
        <v>57.8125</v>
      </c>
      <c r="G587" s="2">
        <v>295663</v>
      </c>
      <c r="H587" s="48">
        <f>G587/8274.77</f>
        <v>35.730660791780316</v>
      </c>
      <c r="I587" s="47">
        <v>204750</v>
      </c>
      <c r="J587" s="48">
        <f>I587/5938.99</f>
        <v>34.475558975516037</v>
      </c>
      <c r="K587" s="2">
        <v>0</v>
      </c>
      <c r="L587" s="2">
        <v>0</v>
      </c>
      <c r="M587" s="25">
        <v>58900</v>
      </c>
      <c r="N587" s="48">
        <f>M587/1712.32</f>
        <v>34.39777611661372</v>
      </c>
      <c r="P587" s="24"/>
      <c r="Q587" s="24"/>
      <c r="R587" s="24"/>
      <c r="S587" s="24"/>
    </row>
    <row r="588" spans="1:19" x14ac:dyDescent="0.25">
      <c r="A588" s="62"/>
      <c r="B588" s="13" t="s">
        <v>547</v>
      </c>
      <c r="C588" s="63"/>
      <c r="D588" s="2">
        <v>1</v>
      </c>
      <c r="E588" s="2">
        <v>0</v>
      </c>
      <c r="F588" s="48">
        <f t="shared" ref="F588:F591" si="213">E588/128</f>
        <v>0</v>
      </c>
      <c r="G588" s="2">
        <v>80032</v>
      </c>
      <c r="H588" s="48">
        <f t="shared" ref="H588:H592" si="214">G588/8274.77</f>
        <v>9.6718096092096815</v>
      </c>
      <c r="I588" s="47">
        <v>106808</v>
      </c>
      <c r="J588" s="48">
        <f t="shared" ref="J588:J592" si="215">I588/5938.99</f>
        <v>17.984202701132684</v>
      </c>
      <c r="K588" s="2">
        <v>0</v>
      </c>
      <c r="L588" s="2">
        <v>0</v>
      </c>
      <c r="M588" s="25">
        <v>7300</v>
      </c>
      <c r="N588" s="48">
        <f t="shared" ref="N588:N591" si="216">M588/1712.32</f>
        <v>4.2632218276957579</v>
      </c>
      <c r="P588" s="24"/>
      <c r="Q588" s="24"/>
      <c r="R588" s="24"/>
      <c r="S588" s="24"/>
    </row>
    <row r="589" spans="1:19" x14ac:dyDescent="0.25">
      <c r="A589" s="62"/>
      <c r="B589" s="13" t="s">
        <v>548</v>
      </c>
      <c r="C589" s="63"/>
      <c r="D589" s="2">
        <v>1</v>
      </c>
      <c r="E589" s="2">
        <v>0</v>
      </c>
      <c r="F589" s="48">
        <f t="shared" si="213"/>
        <v>0</v>
      </c>
      <c r="G589" s="2">
        <v>129000</v>
      </c>
      <c r="H589" s="48">
        <f t="shared" si="214"/>
        <v>15.589557171981818</v>
      </c>
      <c r="I589" s="2">
        <v>117020</v>
      </c>
      <c r="J589" s="48">
        <f t="shared" si="215"/>
        <v>19.703686990548899</v>
      </c>
      <c r="K589" s="2">
        <v>0</v>
      </c>
      <c r="L589" s="2">
        <v>0</v>
      </c>
      <c r="M589" s="25">
        <v>49866</v>
      </c>
      <c r="N589" s="48">
        <f t="shared" si="216"/>
        <v>29.121893104092695</v>
      </c>
      <c r="P589" s="24"/>
      <c r="Q589" s="24"/>
      <c r="R589" s="24"/>
      <c r="S589" s="24"/>
    </row>
    <row r="590" spans="1:19" x14ac:dyDescent="0.25">
      <c r="A590" s="62"/>
      <c r="B590" s="13" t="s">
        <v>549</v>
      </c>
      <c r="C590" s="63"/>
      <c r="D590" s="2">
        <v>1</v>
      </c>
      <c r="E590" s="2">
        <v>0</v>
      </c>
      <c r="F590" s="48">
        <f t="shared" si="213"/>
        <v>0</v>
      </c>
      <c r="G590" s="2">
        <v>54320</v>
      </c>
      <c r="H590" s="48">
        <f t="shared" si="214"/>
        <v>6.5645329114887785</v>
      </c>
      <c r="I590" s="2">
        <v>0</v>
      </c>
      <c r="J590" s="48">
        <f t="shared" si="215"/>
        <v>0</v>
      </c>
      <c r="K590" s="2">
        <v>0</v>
      </c>
      <c r="L590" s="2">
        <v>0</v>
      </c>
      <c r="M590" s="25">
        <v>0</v>
      </c>
      <c r="N590" s="48">
        <f t="shared" si="216"/>
        <v>0</v>
      </c>
      <c r="P590" s="24"/>
      <c r="Q590" s="24"/>
      <c r="R590" s="24"/>
      <c r="S590" s="24"/>
    </row>
    <row r="591" spans="1:19" x14ac:dyDescent="0.25">
      <c r="A591" s="62"/>
      <c r="B591" s="13" t="s">
        <v>550</v>
      </c>
      <c r="C591" s="63"/>
      <c r="D591" s="2">
        <v>1</v>
      </c>
      <c r="E591" s="47">
        <v>2500</v>
      </c>
      <c r="F591" s="48">
        <f t="shared" si="213"/>
        <v>19.53125</v>
      </c>
      <c r="G591" s="47">
        <v>169030</v>
      </c>
      <c r="H591" s="48">
        <f t="shared" si="214"/>
        <v>20.427153866512302</v>
      </c>
      <c r="I591" s="47">
        <v>100308</v>
      </c>
      <c r="J591" s="48">
        <f t="shared" si="215"/>
        <v>16.889740511433764</v>
      </c>
      <c r="K591" s="47">
        <v>0</v>
      </c>
      <c r="L591" s="47">
        <v>0</v>
      </c>
      <c r="M591" s="47">
        <v>49866</v>
      </c>
      <c r="N591" s="48">
        <f t="shared" si="216"/>
        <v>29.121893104092695</v>
      </c>
      <c r="P591" s="24"/>
      <c r="Q591" s="24"/>
      <c r="R591" s="24"/>
      <c r="S591" s="24"/>
    </row>
    <row r="592" spans="1:19" x14ac:dyDescent="0.25">
      <c r="A592" s="62"/>
      <c r="B592" s="2" t="s">
        <v>551</v>
      </c>
      <c r="C592" s="63"/>
      <c r="D592" s="2">
        <v>1</v>
      </c>
      <c r="E592" s="47">
        <v>2900</v>
      </c>
      <c r="F592" s="48">
        <f>E592/128</f>
        <v>22.65625</v>
      </c>
      <c r="G592" s="47">
        <v>99432</v>
      </c>
      <c r="H592" s="48">
        <f t="shared" si="214"/>
        <v>12.016285649027102</v>
      </c>
      <c r="I592" s="47">
        <v>65013</v>
      </c>
      <c r="J592" s="48">
        <f t="shared" si="215"/>
        <v>10.946810821368617</v>
      </c>
      <c r="K592" s="47">
        <v>0</v>
      </c>
      <c r="L592" s="47">
        <v>0</v>
      </c>
      <c r="M592" s="47">
        <v>5300</v>
      </c>
      <c r="N592" s="48">
        <f>M592/1712.32</f>
        <v>3.0952158475051395</v>
      </c>
      <c r="P592" s="24"/>
      <c r="Q592" s="24"/>
      <c r="R592" s="24"/>
      <c r="S592" s="24"/>
    </row>
    <row r="593" spans="1:19" ht="15.75" x14ac:dyDescent="0.25">
      <c r="A593" s="3"/>
      <c r="B593" s="3"/>
      <c r="C593" s="3"/>
      <c r="D593" s="3">
        <f>SUM(D587:D592)</f>
        <v>7</v>
      </c>
      <c r="E593" s="21">
        <f>SUM(E587:E592)</f>
        <v>12800</v>
      </c>
      <c r="F593" s="17">
        <v>1</v>
      </c>
      <c r="G593" s="21">
        <f>SUM(G587:G592)</f>
        <v>827477</v>
      </c>
      <c r="H593" s="17">
        <v>1</v>
      </c>
      <c r="I593" s="21">
        <f>SUM(I587:I592)</f>
        <v>593899</v>
      </c>
      <c r="J593" s="17">
        <v>1</v>
      </c>
      <c r="K593" s="21">
        <v>0</v>
      </c>
      <c r="L593" s="17">
        <v>1</v>
      </c>
      <c r="M593" s="46">
        <f>SUM(M587:M592)</f>
        <v>171232</v>
      </c>
      <c r="N593" s="17">
        <v>1</v>
      </c>
      <c r="P593" s="28"/>
      <c r="Q593" s="24"/>
      <c r="R593" s="24"/>
      <c r="S593" s="24"/>
    </row>
    <row r="594" spans="1:19" x14ac:dyDescent="0.25">
      <c r="P594" s="24"/>
      <c r="Q594" s="24"/>
      <c r="R594" s="24"/>
      <c r="S594" s="24"/>
    </row>
    <row r="595" spans="1:19" x14ac:dyDescent="0.25">
      <c r="P595" s="24"/>
      <c r="Q595" s="24"/>
      <c r="R595" s="24"/>
      <c r="S595" s="24"/>
    </row>
    <row r="596" spans="1:19" x14ac:dyDescent="0.25">
      <c r="P596" s="24"/>
      <c r="Q596" s="24"/>
      <c r="R596" s="24"/>
      <c r="S596" s="24"/>
    </row>
    <row r="597" spans="1:19" x14ac:dyDescent="0.25">
      <c r="I597" s="51"/>
      <c r="K597" s="1" t="s">
        <v>2</v>
      </c>
    </row>
    <row r="598" spans="1:19" x14ac:dyDescent="0.25">
      <c r="I598" s="51"/>
    </row>
    <row r="599" spans="1:19" x14ac:dyDescent="0.25">
      <c r="I599" s="51"/>
    </row>
    <row r="600" spans="1:19" x14ac:dyDescent="0.25">
      <c r="I600" s="52"/>
    </row>
    <row r="601" spans="1:19" x14ac:dyDescent="0.25">
      <c r="I601" s="51"/>
    </row>
    <row r="602" spans="1:19" x14ac:dyDescent="0.25">
      <c r="I602" s="51"/>
    </row>
    <row r="603" spans="1:19" x14ac:dyDescent="0.25">
      <c r="I603" s="51"/>
    </row>
    <row r="604" spans="1:19" x14ac:dyDescent="0.25">
      <c r="I604" s="51"/>
    </row>
  </sheetData>
  <mergeCells count="125">
    <mergeCell ref="A551:A555"/>
    <mergeCell ref="C551:C555"/>
    <mergeCell ref="A557:A561"/>
    <mergeCell ref="C557:C561"/>
    <mergeCell ref="A563:A564"/>
    <mergeCell ref="C563:C564"/>
    <mergeCell ref="A516:A526"/>
    <mergeCell ref="C516:C526"/>
    <mergeCell ref="A528:A545"/>
    <mergeCell ref="C528:C545"/>
    <mergeCell ref="A547:A549"/>
    <mergeCell ref="C547:C549"/>
    <mergeCell ref="A499:A502"/>
    <mergeCell ref="C499:C502"/>
    <mergeCell ref="A504:A508"/>
    <mergeCell ref="C504:C508"/>
    <mergeCell ref="A510:A514"/>
    <mergeCell ref="C510:C514"/>
    <mergeCell ref="A468:A472"/>
    <mergeCell ref="C468:C472"/>
    <mergeCell ref="C474:C491"/>
    <mergeCell ref="A474:A491"/>
    <mergeCell ref="A493:A497"/>
    <mergeCell ref="C493:C497"/>
    <mergeCell ref="A463:A466"/>
    <mergeCell ref="C463:C466"/>
    <mergeCell ref="A413:A415"/>
    <mergeCell ref="C413:C415"/>
    <mergeCell ref="A417:A425"/>
    <mergeCell ref="C417:C425"/>
    <mergeCell ref="A427:A439"/>
    <mergeCell ref="C427:C439"/>
    <mergeCell ref="C441:C451"/>
    <mergeCell ref="A441:A451"/>
    <mergeCell ref="A377:A379"/>
    <mergeCell ref="C377:C379"/>
    <mergeCell ref="A367:A375"/>
    <mergeCell ref="A381:A400"/>
    <mergeCell ref="C381:C400"/>
    <mergeCell ref="A453:A455"/>
    <mergeCell ref="C453:C455"/>
    <mergeCell ref="A457:A461"/>
    <mergeCell ref="C457:C461"/>
    <mergeCell ref="C346:C360"/>
    <mergeCell ref="A346:A360"/>
    <mergeCell ref="A306:A324"/>
    <mergeCell ref="C306:C324"/>
    <mergeCell ref="A362:A365"/>
    <mergeCell ref="C362:C365"/>
    <mergeCell ref="C326:C332"/>
    <mergeCell ref="A326:A332"/>
    <mergeCell ref="A334:A340"/>
    <mergeCell ref="C334:C340"/>
    <mergeCell ref="B364:B365"/>
    <mergeCell ref="A4:A88"/>
    <mergeCell ref="C4:C88"/>
    <mergeCell ref="C90:C99"/>
    <mergeCell ref="A90:A99"/>
    <mergeCell ref="A101:A125"/>
    <mergeCell ref="C101:C125"/>
    <mergeCell ref="A180:A185"/>
    <mergeCell ref="C180:C185"/>
    <mergeCell ref="M2:N2"/>
    <mergeCell ref="E2:F2"/>
    <mergeCell ref="G2:H2"/>
    <mergeCell ref="I2:J2"/>
    <mergeCell ref="K2:L2"/>
    <mergeCell ref="A2:A3"/>
    <mergeCell ref="B2:B3"/>
    <mergeCell ref="C2:C3"/>
    <mergeCell ref="D2:D3"/>
    <mergeCell ref="A127:A131"/>
    <mergeCell ref="C127:C131"/>
    <mergeCell ref="A172:A178"/>
    <mergeCell ref="C172:C178"/>
    <mergeCell ref="C133:C150"/>
    <mergeCell ref="A133:A150"/>
    <mergeCell ref="C408:C411"/>
    <mergeCell ref="C367:C375"/>
    <mergeCell ref="C152:C159"/>
    <mergeCell ref="A152:A159"/>
    <mergeCell ref="A161:A170"/>
    <mergeCell ref="C161:C170"/>
    <mergeCell ref="C201:C203"/>
    <mergeCell ref="A201:A203"/>
    <mergeCell ref="A205:A206"/>
    <mergeCell ref="C205:C206"/>
    <mergeCell ref="C277:C304"/>
    <mergeCell ref="A277:A304"/>
    <mergeCell ref="A251:A254"/>
    <mergeCell ref="C251:C254"/>
    <mergeCell ref="A256:A275"/>
    <mergeCell ref="C256:C275"/>
    <mergeCell ref="A208:A228"/>
    <mergeCell ref="A187:A197"/>
    <mergeCell ref="C187:C197"/>
    <mergeCell ref="C208:C228"/>
    <mergeCell ref="C230:C249"/>
    <mergeCell ref="A230:A249"/>
    <mergeCell ref="A342:A344"/>
    <mergeCell ref="C342:C344"/>
    <mergeCell ref="B1:L1"/>
    <mergeCell ref="M1:N1"/>
    <mergeCell ref="M364:M365"/>
    <mergeCell ref="N364:N365"/>
    <mergeCell ref="A587:A592"/>
    <mergeCell ref="C587:C592"/>
    <mergeCell ref="A566:A574"/>
    <mergeCell ref="C566:C574"/>
    <mergeCell ref="A576:A578"/>
    <mergeCell ref="C576:C578"/>
    <mergeCell ref="C580:C585"/>
    <mergeCell ref="A580:A58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A402:A406"/>
    <mergeCell ref="C402:C406"/>
    <mergeCell ref="A408:A4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Бензин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2017-08-29T07:06:44Z</dcterms:modified>
</cp:coreProperties>
</file>